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\\Filesv\共有\★保険料課\02 保険料担当\◎01庶務、その他\試算シート\令和8年度\★HP公開用（タブ非公開・シート保護）\20260218から\"/>
    </mc:Choice>
  </mc:AlternateContent>
  <xr:revisionPtr revIDLastSave="0" documentId="13_ncr:1_{009824D5-9DC7-40AA-B586-3EC2699011D9}" xr6:coauthVersionLast="47" xr6:coauthVersionMax="47" xr10:uidLastSave="{00000000-0000-0000-0000-000000000000}"/>
  <workbookProtection workbookAlgorithmName="SHA-512" workbookHashValue="Ju3npSBjEZA8p1Ew++bt45XMvD2lQY0CX61rp8MZZZGw+IWQnxSq3ot6kTooXyXbES6E0x0J8vLvBmDR0VyJCw==" workbookSaltValue="hiyQ1YkhBY5Y85s67XUZYA==" workbookSpinCount="100000" lockStructure="1"/>
  <bookViews>
    <workbookView xWindow="-120" yWindow="-120" windowWidth="20730" windowHeight="11160" tabRatio="748" xr2:uid="{00000000-000D-0000-FFFF-FFFF00000000}"/>
  </bookViews>
  <sheets>
    <sheet name="入力" sheetId="2" r:id="rId1"/>
    <sheet name="設定1(医療分)" sheetId="1" state="hidden" r:id="rId2"/>
    <sheet name="設定2(子ども分)" sheetId="10" state="hidden" r:id="rId3"/>
    <sheet name="給与所得(改正後）" sheetId="4" state="hidden" r:id="rId4"/>
    <sheet name="年金条件式" sheetId="8" state="hidden" r:id="rId5"/>
    <sheet name="資格取得月" sheetId="7" state="hidden" r:id="rId6"/>
    <sheet name="計算1(医療分)" sheetId="3" state="hidden" r:id="rId7"/>
    <sheet name="計算2(子ども分)" sheetId="9" state="hidden" r:id="rId8"/>
  </sheets>
  <definedNames>
    <definedName name="_xlnm.Print_Area" localSheetId="0">入力!$A$1:$BF$63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K58" i="2" l="1"/>
  <c r="H58" i="2"/>
  <c r="C4" i="4"/>
  <c r="F50" i="2"/>
  <c r="E50" i="2"/>
  <c r="G50" i="2"/>
  <c r="B2" i="10"/>
  <c r="B2" i="1"/>
  <c r="H50" i="2" l="1"/>
  <c r="B9" i="10"/>
  <c r="B9" i="1"/>
  <c r="B6" i="10"/>
  <c r="B6" i="1"/>
  <c r="B5" i="10"/>
  <c r="B5" i="1"/>
  <c r="I6" i="10"/>
  <c r="C34" i="4" l="1"/>
  <c r="C24" i="4"/>
  <c r="C14" i="4"/>
  <c r="E9" i="10"/>
  <c r="E6" i="10"/>
  <c r="E5" i="10"/>
  <c r="F2" i="10"/>
  <c r="C2" i="10"/>
  <c r="AK54" i="2" s="1"/>
  <c r="A14" i="3"/>
  <c r="F37" i="8" l="1"/>
  <c r="F29" i="8"/>
  <c r="F20" i="8"/>
  <c r="F12" i="8"/>
  <c r="C37" i="4" l="1"/>
  <c r="C36" i="4"/>
  <c r="C35" i="4"/>
  <c r="C27" i="4"/>
  <c r="C26" i="4"/>
  <c r="D6" i="10" s="1"/>
  <c r="C25" i="4"/>
  <c r="C17" i="4"/>
  <c r="C16" i="4"/>
  <c r="D5" i="10" s="1"/>
  <c r="C15" i="4"/>
  <c r="C7" i="4"/>
  <c r="C6" i="4"/>
  <c r="C5" i="4"/>
  <c r="F21" i="8" l="1"/>
  <c r="M41" i="8"/>
  <c r="M40" i="8"/>
  <c r="M39" i="8"/>
  <c r="M38" i="8"/>
  <c r="M33" i="8"/>
  <c r="M32" i="8"/>
  <c r="M31" i="8"/>
  <c r="M30" i="8"/>
  <c r="M24" i="8"/>
  <c r="M23" i="8"/>
  <c r="M22" i="8"/>
  <c r="M21" i="8"/>
  <c r="M16" i="8"/>
  <c r="M15" i="8"/>
  <c r="M14" i="8"/>
  <c r="M13" i="8"/>
  <c r="F41" i="8"/>
  <c r="F40" i="8"/>
  <c r="F39" i="8"/>
  <c r="F38" i="8"/>
  <c r="F33" i="8"/>
  <c r="F32" i="8"/>
  <c r="F31" i="8"/>
  <c r="F30" i="8"/>
  <c r="F24" i="8"/>
  <c r="F23" i="8"/>
  <c r="F22" i="8"/>
  <c r="F16" i="8"/>
  <c r="F15" i="8"/>
  <c r="F14" i="8"/>
  <c r="F13" i="8"/>
  <c r="C39" i="4" l="1"/>
  <c r="D9" i="10" s="1"/>
  <c r="C29" i="4"/>
  <c r="C19" i="4"/>
  <c r="C9" i="4"/>
  <c r="E2" i="10" s="1"/>
  <c r="E2" i="1"/>
  <c r="L33" i="8" l="1"/>
  <c r="K33" i="8"/>
  <c r="E33" i="8"/>
  <c r="D33" i="8"/>
  <c r="L32" i="8"/>
  <c r="K32" i="8"/>
  <c r="E32" i="8"/>
  <c r="D32" i="8"/>
  <c r="L31" i="8"/>
  <c r="K31" i="8"/>
  <c r="E31" i="8"/>
  <c r="D31" i="8"/>
  <c r="L30" i="8"/>
  <c r="K30" i="8"/>
  <c r="E30" i="8"/>
  <c r="D30" i="8"/>
  <c r="M29" i="8"/>
  <c r="L29" i="8"/>
  <c r="K29" i="8"/>
  <c r="E29" i="8"/>
  <c r="D29" i="8"/>
  <c r="D16" i="8"/>
  <c r="D15" i="8"/>
  <c r="D14" i="8"/>
  <c r="D13" i="8"/>
  <c r="D12" i="8"/>
  <c r="D24" i="8"/>
  <c r="D23" i="8"/>
  <c r="D22" i="8"/>
  <c r="D21" i="8"/>
  <c r="D20" i="8"/>
  <c r="L24" i="8"/>
  <c r="K24" i="8"/>
  <c r="E24" i="8"/>
  <c r="L23" i="8"/>
  <c r="K23" i="8"/>
  <c r="E23" i="8"/>
  <c r="L22" i="8"/>
  <c r="K22" i="8"/>
  <c r="E22" i="8"/>
  <c r="L21" i="8"/>
  <c r="K21" i="8"/>
  <c r="E21" i="8"/>
  <c r="M20" i="8"/>
  <c r="L20" i="8"/>
  <c r="K20" i="8"/>
  <c r="E20" i="8"/>
  <c r="L16" i="8"/>
  <c r="K16" i="8"/>
  <c r="E16" i="8"/>
  <c r="L15" i="8"/>
  <c r="K15" i="8"/>
  <c r="E15" i="8"/>
  <c r="L14" i="8"/>
  <c r="K14" i="8"/>
  <c r="E14" i="8"/>
  <c r="L13" i="8"/>
  <c r="K13" i="8"/>
  <c r="E13" i="8"/>
  <c r="M12" i="8"/>
  <c r="L12" i="8"/>
  <c r="K12" i="8"/>
  <c r="E12" i="8"/>
  <c r="E6" i="1" l="1"/>
  <c r="E5" i="1"/>
  <c r="D6" i="1"/>
  <c r="D5" i="1"/>
  <c r="F2" i="1"/>
  <c r="E5" i="8" l="1"/>
  <c r="E4" i="8"/>
  <c r="E3" i="8"/>
  <c r="M37" i="8" l="1"/>
  <c r="L37" i="8"/>
  <c r="K37" i="8"/>
  <c r="L41" i="8"/>
  <c r="K41" i="8"/>
  <c r="L40" i="8"/>
  <c r="K40" i="8"/>
  <c r="L39" i="8"/>
  <c r="K39" i="8"/>
  <c r="L38" i="8"/>
  <c r="K38" i="8"/>
  <c r="E41" i="8"/>
  <c r="D41" i="8"/>
  <c r="E40" i="8"/>
  <c r="D40" i="8"/>
  <c r="E39" i="8"/>
  <c r="D39" i="8"/>
  <c r="E38" i="8"/>
  <c r="D38" i="8"/>
  <c r="E37" i="8"/>
  <c r="D37" i="8"/>
  <c r="E6" i="8" l="1"/>
  <c r="AP47" i="2" l="1"/>
  <c r="C2" i="1" l="1"/>
  <c r="L3" i="9" l="1"/>
  <c r="H54" i="2"/>
  <c r="AO48" i="2" s="1"/>
  <c r="A14" i="9"/>
  <c r="E9" i="1" l="1"/>
  <c r="D9" i="1"/>
  <c r="D4" i="8" l="1"/>
  <c r="C4" i="8"/>
  <c r="D5" i="8"/>
  <c r="C5" i="8"/>
  <c r="D3" i="8"/>
  <c r="C3" i="8"/>
  <c r="D6" i="8"/>
  <c r="C6" i="8"/>
  <c r="F3" i="8" l="1"/>
  <c r="F5" i="8"/>
  <c r="F6" i="8"/>
  <c r="F4" i="8"/>
  <c r="L3" i="3"/>
  <c r="I6" i="8" l="1"/>
  <c r="C9" i="10" s="1"/>
  <c r="I5" i="8"/>
  <c r="C6" i="10" s="1"/>
  <c r="I4" i="8"/>
  <c r="C5" i="10" s="1"/>
  <c r="I3" i="8"/>
  <c r="D2" i="10" s="1"/>
  <c r="G9" i="10" l="1"/>
  <c r="H9" i="10" s="1"/>
  <c r="I9" i="10" s="1"/>
  <c r="F9" i="10"/>
  <c r="C9" i="1"/>
  <c r="G9" i="1" s="1"/>
  <c r="H9" i="1" s="1"/>
  <c r="I9" i="1" s="1"/>
  <c r="F6" i="10"/>
  <c r="G6" i="10"/>
  <c r="H6" i="10" s="1"/>
  <c r="C6" i="1"/>
  <c r="F5" i="10"/>
  <c r="G5" i="10"/>
  <c r="H5" i="10" s="1"/>
  <c r="I5" i="10" s="1"/>
  <c r="C5" i="1"/>
  <c r="F5" i="1" s="1"/>
  <c r="G2" i="10"/>
  <c r="H2" i="10"/>
  <c r="I2" i="10" s="1"/>
  <c r="J9" i="10"/>
  <c r="D2" i="1"/>
  <c r="F9" i="1" l="1"/>
  <c r="J6" i="10"/>
  <c r="G5" i="1"/>
  <c r="H5" i="1" s="1"/>
  <c r="I5" i="1" s="1"/>
  <c r="B8" i="9" s="1"/>
  <c r="J5" i="10"/>
  <c r="J2" i="10"/>
  <c r="H12" i="10" s="1"/>
  <c r="K2" i="10"/>
  <c r="J9" i="1"/>
  <c r="B10" i="3"/>
  <c r="B10" i="9"/>
  <c r="H2" i="1"/>
  <c r="I2" i="1" s="1"/>
  <c r="G2" i="1"/>
  <c r="B3" i="3" s="1"/>
  <c r="G6" i="1"/>
  <c r="J6" i="1" s="1"/>
  <c r="F6" i="1"/>
  <c r="J5" i="1" l="1"/>
  <c r="B8" i="3"/>
  <c r="K2" i="1"/>
  <c r="J2" i="1"/>
  <c r="B7" i="9" s="1"/>
  <c r="C3" i="3"/>
  <c r="E3" i="3" s="1"/>
  <c r="B3" i="9"/>
  <c r="C3" i="9" s="1"/>
  <c r="E3" i="9" s="1"/>
  <c r="H6" i="1"/>
  <c r="I6" i="1" s="1"/>
  <c r="G3" i="3" l="1"/>
  <c r="I3" i="3" s="1"/>
  <c r="G3" i="9"/>
  <c r="I3" i="9" s="1"/>
  <c r="B9" i="3"/>
  <c r="B9" i="9"/>
  <c r="B11" i="9" s="1"/>
  <c r="B14" i="3"/>
  <c r="B14" i="9"/>
  <c r="B7" i="3"/>
  <c r="H12" i="1"/>
  <c r="B18" i="3" l="1"/>
  <c r="B19" i="3"/>
  <c r="B19" i="9"/>
  <c r="B18" i="9"/>
  <c r="B17" i="3"/>
  <c r="B17" i="9"/>
  <c r="C17" i="9" s="1"/>
  <c r="B11" i="3"/>
  <c r="C17" i="3" l="1"/>
  <c r="C18" i="3" s="1"/>
  <c r="C19" i="3" s="1"/>
  <c r="C18" i="9"/>
  <c r="C19" i="9" s="1"/>
  <c r="D17" i="3" l="1"/>
  <c r="D17" i="9"/>
  <c r="J3" i="3" l="1"/>
  <c r="H55" i="2" s="1"/>
  <c r="G52" i="2"/>
  <c r="H52" i="2" s="1"/>
  <c r="J3" i="9"/>
  <c r="AJ52" i="2"/>
  <c r="AK52" i="2" s="1"/>
  <c r="H57" i="2" l="1"/>
  <c r="AK57" i="2"/>
  <c r="K3" i="9"/>
  <c r="M3" i="9" s="1"/>
  <c r="N3" i="9" s="1"/>
  <c r="AK59" i="2" s="1"/>
  <c r="AK55" i="2"/>
  <c r="K3" i="3"/>
  <c r="M3" i="3" s="1"/>
  <c r="N3" i="3" s="1"/>
  <c r="H59" i="2" s="1"/>
  <c r="AD48" i="2" l="1"/>
</calcChain>
</file>

<file path=xl/sharedStrings.xml><?xml version="1.0" encoding="utf-8"?>
<sst xmlns="http://schemas.openxmlformats.org/spreadsheetml/2006/main" count="312" uniqueCount="140">
  <si>
    <t>世帯主</t>
    <rPh sb="0" eb="3">
      <t>セタイヌシ</t>
    </rPh>
    <phoneticPr fontId="4"/>
  </si>
  <si>
    <t>６５歳以上</t>
    <rPh sb="2" eb="5">
      <t>サイイジョウ</t>
    </rPh>
    <phoneticPr fontId="4"/>
  </si>
  <si>
    <t>６５歳未満</t>
    <rPh sb="2" eb="5">
      <t>サイミマン</t>
    </rPh>
    <phoneticPr fontId="4"/>
  </si>
  <si>
    <t>世帯主</t>
    <rPh sb="0" eb="3">
      <t>セタイヌシ</t>
    </rPh>
    <phoneticPr fontId="3"/>
  </si>
  <si>
    <t>給与収入</t>
    <rPh sb="0" eb="2">
      <t>キュウヨ</t>
    </rPh>
    <rPh sb="2" eb="4">
      <t>シュウニュウ</t>
    </rPh>
    <phoneticPr fontId="3"/>
  </si>
  <si>
    <t>給与所得</t>
    <rPh sb="0" eb="2">
      <t>キュウヨ</t>
    </rPh>
    <rPh sb="2" eb="4">
      <t>ショトク</t>
    </rPh>
    <phoneticPr fontId="3"/>
  </si>
  <si>
    <t>所得合計</t>
    <rPh sb="0" eb="2">
      <t>ショトク</t>
    </rPh>
    <rPh sb="2" eb="4">
      <t>ゴウケイ</t>
    </rPh>
    <phoneticPr fontId="3"/>
  </si>
  <si>
    <t>賦課のもとと
なる所得金額</t>
    <rPh sb="0" eb="2">
      <t>フカ</t>
    </rPh>
    <rPh sb="9" eb="11">
      <t>ショトク</t>
    </rPh>
    <rPh sb="11" eb="13">
      <t>キンガク</t>
    </rPh>
    <phoneticPr fontId="3"/>
  </si>
  <si>
    <t>所得割率</t>
    <rPh sb="0" eb="2">
      <t>ショトク</t>
    </rPh>
    <rPh sb="2" eb="3">
      <t>ワリ</t>
    </rPh>
    <rPh sb="3" eb="4">
      <t>リツ</t>
    </rPh>
    <phoneticPr fontId="3"/>
  </si>
  <si>
    <t>均等割額</t>
    <rPh sb="0" eb="3">
      <t>キントウワリ</t>
    </rPh>
    <rPh sb="3" eb="4">
      <t>ガク</t>
    </rPh>
    <phoneticPr fontId="3"/>
  </si>
  <si>
    <t>所得割額</t>
    <rPh sb="0" eb="2">
      <t>ショトク</t>
    </rPh>
    <rPh sb="2" eb="3">
      <t>ワリ</t>
    </rPh>
    <rPh sb="3" eb="4">
      <t>ガク</t>
    </rPh>
    <phoneticPr fontId="3"/>
  </si>
  <si>
    <t>賦課限度額</t>
    <rPh sb="0" eb="2">
      <t>フカ</t>
    </rPh>
    <rPh sb="2" eb="4">
      <t>ゲンド</t>
    </rPh>
    <rPh sb="4" eb="5">
      <t>ガク</t>
    </rPh>
    <phoneticPr fontId="3"/>
  </si>
  <si>
    <t>限度超過額</t>
    <rPh sb="0" eb="2">
      <t>ゲンド</t>
    </rPh>
    <rPh sb="2" eb="4">
      <t>チョウカ</t>
    </rPh>
    <rPh sb="4" eb="5">
      <t>ガク</t>
    </rPh>
    <phoneticPr fontId="3"/>
  </si>
  <si>
    <t>均等割
軽減額</t>
    <rPh sb="0" eb="3">
      <t>キントウワリ</t>
    </rPh>
    <rPh sb="4" eb="6">
      <t>ケイゲン</t>
    </rPh>
    <rPh sb="6" eb="7">
      <t>ガク</t>
    </rPh>
    <phoneticPr fontId="3"/>
  </si>
  <si>
    <t>5割軽減</t>
    <rPh sb="1" eb="2">
      <t>ワリ</t>
    </rPh>
    <rPh sb="2" eb="4">
      <t>ケイゲン</t>
    </rPh>
    <phoneticPr fontId="3"/>
  </si>
  <si>
    <t>2割軽減</t>
    <rPh sb="1" eb="2">
      <t>ワリ</t>
    </rPh>
    <rPh sb="2" eb="4">
      <t>ケイゲン</t>
    </rPh>
    <phoneticPr fontId="3"/>
  </si>
  <si>
    <t>基準額</t>
    <rPh sb="0" eb="2">
      <t>キジュン</t>
    </rPh>
    <rPh sb="2" eb="3">
      <t>ガク</t>
    </rPh>
    <phoneticPr fontId="3"/>
  </si>
  <si>
    <t>世帯の
被保険者数</t>
    <rPh sb="0" eb="2">
      <t>セタイ</t>
    </rPh>
    <rPh sb="4" eb="8">
      <t>ヒホケンシャ</t>
    </rPh>
    <rPh sb="8" eb="9">
      <t>スウ</t>
    </rPh>
    <phoneticPr fontId="3"/>
  </si>
  <si>
    <t>軽減の適用</t>
    <rPh sb="0" eb="2">
      <t>ケイゲン</t>
    </rPh>
    <rPh sb="3" eb="5">
      <t>テキヨウ</t>
    </rPh>
    <phoneticPr fontId="3"/>
  </si>
  <si>
    <t>合計</t>
    <rPh sb="0" eb="2">
      <t>ゴウケイ</t>
    </rPh>
    <phoneticPr fontId="3"/>
  </si>
  <si>
    <t>軽減割合</t>
    <rPh sb="0" eb="2">
      <t>ケイゲン</t>
    </rPh>
    <rPh sb="2" eb="4">
      <t>ワリアイ</t>
    </rPh>
    <phoneticPr fontId="3"/>
  </si>
  <si>
    <t>年　　　間
保険料額</t>
    <rPh sb="0" eb="1">
      <t>ネン</t>
    </rPh>
    <rPh sb="4" eb="5">
      <t>カン</t>
    </rPh>
    <rPh sb="6" eb="9">
      <t>ホケンリョウ</t>
    </rPh>
    <rPh sb="9" eb="10">
      <t>ガク</t>
    </rPh>
    <phoneticPr fontId="3"/>
  </si>
  <si>
    <t>月数</t>
    <rPh sb="0" eb="2">
      <t>ツキスウ</t>
    </rPh>
    <phoneticPr fontId="3"/>
  </si>
  <si>
    <t>月割減額</t>
    <rPh sb="0" eb="2">
      <t>ツキワリ</t>
    </rPh>
    <rPh sb="2" eb="4">
      <t>ゲンガク</t>
    </rPh>
    <phoneticPr fontId="3"/>
  </si>
  <si>
    <t>決　　　定
保険料額</t>
    <rPh sb="0" eb="1">
      <t>ケッ</t>
    </rPh>
    <rPh sb="4" eb="5">
      <t>サダム</t>
    </rPh>
    <rPh sb="6" eb="9">
      <t>ホケンリョウ</t>
    </rPh>
    <rPh sb="9" eb="10">
      <t>ガク</t>
    </rPh>
    <phoneticPr fontId="3"/>
  </si>
  <si>
    <t>【軽減判定所得の計算】</t>
    <rPh sb="8" eb="10">
      <t>ケイサン</t>
    </rPh>
    <phoneticPr fontId="3"/>
  </si>
  <si>
    <t>軽減判定所得</t>
    <phoneticPr fontId="3"/>
  </si>
  <si>
    <t>資格取得月</t>
    <rPh sb="0" eb="2">
      <t>シカク</t>
    </rPh>
    <rPh sb="2" eb="4">
      <t>シュトク</t>
    </rPh>
    <rPh sb="4" eb="5">
      <t>ツキ</t>
    </rPh>
    <phoneticPr fontId="3"/>
  </si>
  <si>
    <t>資格取得月</t>
    <rPh sb="0" eb="2">
      <t>シカク</t>
    </rPh>
    <rPh sb="2" eb="4">
      <t>シュトク</t>
    </rPh>
    <rPh sb="4" eb="5">
      <t>ツキ</t>
    </rPh>
    <phoneticPr fontId="3"/>
  </si>
  <si>
    <t>年金収入（年額）</t>
    <rPh sb="0" eb="2">
      <t>ネンキン</t>
    </rPh>
    <rPh sb="2" eb="4">
      <t>シュウニュウ</t>
    </rPh>
    <rPh sb="5" eb="7">
      <t>ネンガク</t>
    </rPh>
    <phoneticPr fontId="4"/>
  </si>
  <si>
    <t>給与収入（年額）</t>
    <rPh sb="0" eb="2">
      <t>キュウヨ</t>
    </rPh>
    <rPh sb="2" eb="4">
      <t>シュウニュウ</t>
    </rPh>
    <rPh sb="5" eb="7">
      <t>ネンガク</t>
    </rPh>
    <phoneticPr fontId="4"/>
  </si>
  <si>
    <t>円</t>
    <rPh sb="0" eb="1">
      <t>エン</t>
    </rPh>
    <phoneticPr fontId="4"/>
  </si>
  <si>
    <t>月</t>
    <rPh sb="0" eb="1">
      <t>ツキ</t>
    </rPh>
    <phoneticPr fontId="4"/>
  </si>
  <si>
    <t>割</t>
    <rPh sb="0" eb="1">
      <t>ワリ</t>
    </rPh>
    <phoneticPr fontId="4"/>
  </si>
  <si>
    <t>です。</t>
    <phoneticPr fontId="4"/>
  </si>
  <si>
    <t>被保険者</t>
    <rPh sb="0" eb="4">
      <t>ヒホケンシャ</t>
    </rPh>
    <phoneticPr fontId="3"/>
  </si>
  <si>
    <t>被保険者</t>
    <rPh sb="0" eb="4">
      <t>ヒホケンシャ</t>
    </rPh>
    <phoneticPr fontId="4"/>
  </si>
  <si>
    <t>被保険者</t>
    <rPh sb="0" eb="4">
      <t>ヒホケンシャ</t>
    </rPh>
    <phoneticPr fontId="3"/>
  </si>
  <si>
    <t>家族１</t>
    <rPh sb="0" eb="2">
      <t>カゾク</t>
    </rPh>
    <phoneticPr fontId="3"/>
  </si>
  <si>
    <t>家族２</t>
    <rPh sb="0" eb="2">
      <t>カゾク</t>
    </rPh>
    <phoneticPr fontId="3"/>
  </si>
  <si>
    <t>世帯主</t>
    <rPh sb="0" eb="3">
      <t>セタイヌシ</t>
    </rPh>
    <phoneticPr fontId="3"/>
  </si>
  <si>
    <t>年金所得</t>
    <rPh sb="0" eb="2">
      <t>ネンキン</t>
    </rPh>
    <rPh sb="2" eb="4">
      <t>ショトク</t>
    </rPh>
    <phoneticPr fontId="3"/>
  </si>
  <si>
    <t>給与所得</t>
    <rPh sb="0" eb="2">
      <t>キュウヨ</t>
    </rPh>
    <rPh sb="2" eb="4">
      <t>ショトク</t>
    </rPh>
    <phoneticPr fontId="3"/>
  </si>
  <si>
    <t>その他の所得</t>
    <rPh sb="2" eb="3">
      <t>タ</t>
    </rPh>
    <rPh sb="4" eb="6">
      <t>ショトク</t>
    </rPh>
    <phoneticPr fontId="3"/>
  </si>
  <si>
    <t>年齢</t>
    <rPh sb="0" eb="2">
      <t>ネンレイ</t>
    </rPh>
    <phoneticPr fontId="3"/>
  </si>
  <si>
    <t>家族１</t>
    <rPh sb="0" eb="2">
      <t>カゾク</t>
    </rPh>
    <phoneticPr fontId="4"/>
  </si>
  <si>
    <t>家族２</t>
    <rPh sb="0" eb="2">
      <t>カゾク</t>
    </rPh>
    <phoneticPr fontId="4"/>
  </si>
  <si>
    <t>算出
保険料額</t>
    <rPh sb="0" eb="1">
      <t>サン</t>
    </rPh>
    <rPh sb="1" eb="2">
      <t>デ</t>
    </rPh>
    <rPh sb="3" eb="6">
      <t>ホケンリョウ</t>
    </rPh>
    <rPh sb="6" eb="7">
      <t>ガク</t>
    </rPh>
    <phoneticPr fontId="3"/>
  </si>
  <si>
    <t>【保険料算定】</t>
    <rPh sb="1" eb="4">
      <t>ホケンリョウ</t>
    </rPh>
    <rPh sb="4" eb="6">
      <t>サンテイ</t>
    </rPh>
    <phoneticPr fontId="3"/>
  </si>
  <si>
    <t>7割軽減</t>
    <rPh sb="1" eb="2">
      <t>ワリ</t>
    </rPh>
    <rPh sb="2" eb="4">
      <t>ケイゲン</t>
    </rPh>
    <phoneticPr fontId="3"/>
  </si>
  <si>
    <t>7</t>
    <phoneticPr fontId="3"/>
  </si>
  <si>
    <t>5</t>
    <phoneticPr fontId="3"/>
  </si>
  <si>
    <t>2</t>
    <phoneticPr fontId="3"/>
  </si>
  <si>
    <t>―</t>
    <phoneticPr fontId="3"/>
  </si>
  <si>
    <t>備考</t>
    <rPh sb="0" eb="2">
      <t>ビコウ</t>
    </rPh>
    <phoneticPr fontId="4"/>
  </si>
  <si>
    <t>)</t>
    <phoneticPr fontId="4"/>
  </si>
  <si>
    <t>ヶ月分</t>
    <rPh sb="1" eb="2">
      <t>ゲツ</t>
    </rPh>
    <rPh sb="2" eb="3">
      <t>ブン</t>
    </rPh>
    <phoneticPr fontId="4"/>
  </si>
  <si>
    <t>円</t>
    <phoneticPr fontId="4"/>
  </si>
  <si>
    <t>(</t>
    <phoneticPr fontId="4"/>
  </si>
  <si>
    <t>賦課月数➀</t>
    <rPh sb="0" eb="2">
      <t>フカ</t>
    </rPh>
    <rPh sb="2" eb="4">
      <t>ゲッスウ</t>
    </rPh>
    <phoneticPr fontId="4"/>
  </si>
  <si>
    <t>均等割額②</t>
    <rPh sb="0" eb="3">
      <t>キントウワリ</t>
    </rPh>
    <rPh sb="3" eb="4">
      <t>ガク</t>
    </rPh>
    <phoneticPr fontId="4"/>
  </si>
  <si>
    <t>所得割額③</t>
    <rPh sb="0" eb="2">
      <t>ショトク</t>
    </rPh>
    <rPh sb="2" eb="3">
      <t>ワリ</t>
    </rPh>
    <rPh sb="3" eb="4">
      <t>ガク</t>
    </rPh>
    <phoneticPr fontId="4"/>
  </si>
  <si>
    <t>所得割率④</t>
    <rPh sb="0" eb="2">
      <t>ショトク</t>
    </rPh>
    <rPh sb="2" eb="3">
      <t>ワリ</t>
    </rPh>
    <rPh sb="3" eb="4">
      <t>リツ</t>
    </rPh>
    <phoneticPr fontId="4"/>
  </si>
  <si>
    <t>被保険者となった月</t>
    <rPh sb="0" eb="4">
      <t>ヒホケンシャ</t>
    </rPh>
    <rPh sb="8" eb="9">
      <t>ツキ</t>
    </rPh>
    <phoneticPr fontId="4"/>
  </si>
  <si>
    <t xml:space="preserve">  その他の所得（年額）</t>
    <rPh sb="4" eb="5">
      <t>ホカ</t>
    </rPh>
    <rPh sb="6" eb="8">
      <t>ショトク</t>
    </rPh>
    <rPh sb="9" eb="11">
      <t>ネンガク</t>
    </rPh>
    <phoneticPr fontId="4"/>
  </si>
  <si>
    <t>被保険者の所得に応じて負担いただく額です。</t>
    <rPh sb="11" eb="13">
      <t>フタン</t>
    </rPh>
    <rPh sb="17" eb="18">
      <t>ガク</t>
    </rPh>
    <phoneticPr fontId="4"/>
  </si>
  <si>
    <t>Q37</t>
    <phoneticPr fontId="3"/>
  </si>
  <si>
    <t>Q32</t>
    <phoneticPr fontId="3"/>
  </si>
  <si>
    <t>給与収入</t>
  </si>
  <si>
    <t>給与所得</t>
  </si>
  <si>
    <t>Q42</t>
    <phoneticPr fontId="3"/>
  </si>
  <si>
    <t>S47</t>
    <phoneticPr fontId="3"/>
  </si>
  <si>
    <t>年齢65以上</t>
    <rPh sb="0" eb="2">
      <t>ネンレイ</t>
    </rPh>
    <rPh sb="4" eb="6">
      <t>イジョウ</t>
    </rPh>
    <phoneticPr fontId="3"/>
  </si>
  <si>
    <t>判定</t>
    <rPh sb="0" eb="2">
      <t>ハンテイ</t>
    </rPh>
    <phoneticPr fontId="3"/>
  </si>
  <si>
    <t>６５歳以上</t>
    <rPh sb="2" eb="3">
      <t>サイ</t>
    </rPh>
    <rPh sb="3" eb="5">
      <t>イジョウ</t>
    </rPh>
    <phoneticPr fontId="3"/>
  </si>
  <si>
    <t>年金所得</t>
    <rPh sb="0" eb="2">
      <t>ネンキン</t>
    </rPh>
    <rPh sb="2" eb="4">
      <t>ショトク</t>
    </rPh>
    <phoneticPr fontId="3"/>
  </si>
  <si>
    <t>入力!$I$37</t>
    <phoneticPr fontId="3"/>
  </si>
  <si>
    <t>入力!$I$42</t>
    <phoneticPr fontId="3"/>
  </si>
  <si>
    <t>入力!$L$47</t>
    <phoneticPr fontId="3"/>
  </si>
  <si>
    <t>入力!$I$32</t>
    <phoneticPr fontId="3"/>
  </si>
  <si>
    <t>所得金額調整控除額</t>
  </si>
  <si>
    <t>高齢者特別控除</t>
    <rPh sb="0" eb="3">
      <t>コウレイシャ</t>
    </rPh>
    <rPh sb="3" eb="5">
      <t>トクベツ</t>
    </rPh>
    <rPh sb="5" eb="7">
      <t>コウジョ</t>
    </rPh>
    <phoneticPr fontId="3"/>
  </si>
  <si>
    <t>軽減判定所得1</t>
    <rPh sb="0" eb="2">
      <t>ケイゲン</t>
    </rPh>
    <rPh sb="2" eb="4">
      <t>ハンテイ</t>
    </rPh>
    <rPh sb="4" eb="6">
      <t>ショトク</t>
    </rPh>
    <phoneticPr fontId="3"/>
  </si>
  <si>
    <t>軽減判定所得2</t>
    <rPh sb="0" eb="2">
      <t>ケイゲン</t>
    </rPh>
    <rPh sb="2" eb="4">
      <t>ハンテイ</t>
    </rPh>
    <rPh sb="4" eb="6">
      <t>ショトク</t>
    </rPh>
    <phoneticPr fontId="3"/>
  </si>
  <si>
    <t>軽減判定所得3</t>
    <rPh sb="0" eb="2">
      <t>ケイゲン</t>
    </rPh>
    <rPh sb="2" eb="4">
      <t>ハンテイ</t>
    </rPh>
    <rPh sb="4" eb="6">
      <t>ショトク</t>
    </rPh>
    <phoneticPr fontId="3"/>
  </si>
  <si>
    <t>軽減判定所得(計)</t>
    <rPh sb="0" eb="2">
      <t>ケイゲン</t>
    </rPh>
    <rPh sb="2" eb="4">
      <t>ハンテイ</t>
    </rPh>
    <rPh sb="4" eb="6">
      <t>ショトク</t>
    </rPh>
    <rPh sb="7" eb="8">
      <t>ケイ</t>
    </rPh>
    <phoneticPr fontId="3"/>
  </si>
  <si>
    <t>軽減基準額</t>
    <rPh sb="0" eb="2">
      <t>ケイゲン</t>
    </rPh>
    <rPh sb="2" eb="4">
      <t>キジュン</t>
    </rPh>
    <rPh sb="4" eb="5">
      <t>ガク</t>
    </rPh>
    <phoneticPr fontId="3"/>
  </si>
  <si>
    <t>年金・給与所得者の数</t>
    <rPh sb="0" eb="2">
      <t>ネンキン</t>
    </rPh>
    <rPh sb="3" eb="5">
      <t>キュウヨ</t>
    </rPh>
    <rPh sb="5" eb="7">
      <t>ショトク</t>
    </rPh>
    <rPh sb="7" eb="8">
      <t>シャ</t>
    </rPh>
    <rPh sb="9" eb="10">
      <t>カズ</t>
    </rPh>
    <phoneticPr fontId="3"/>
  </si>
  <si>
    <t>年金給与所得者の数</t>
    <rPh sb="0" eb="2">
      <t>ネンキン</t>
    </rPh>
    <rPh sb="2" eb="4">
      <t>キュウヨ</t>
    </rPh>
    <rPh sb="4" eb="6">
      <t>ショトク</t>
    </rPh>
    <rPh sb="6" eb="7">
      <t>シャ</t>
    </rPh>
    <rPh sb="8" eb="9">
      <t>カズ</t>
    </rPh>
    <phoneticPr fontId="3"/>
  </si>
  <si>
    <t>計算シートにて算出</t>
    <rPh sb="0" eb="2">
      <t>ケイサン</t>
    </rPh>
    <rPh sb="7" eb="9">
      <t>サンシュツ</t>
    </rPh>
    <phoneticPr fontId="3"/>
  </si>
  <si>
    <t>世帯の所得によって均等割額の軽減割合が判定
されます(7割,5割,2割または軽減なし)。</t>
    <rPh sb="9" eb="12">
      <t>キントウワ</t>
    </rPh>
    <rPh sb="12" eb="13">
      <t>ガク</t>
    </rPh>
    <rPh sb="16" eb="18">
      <t>ワリアイ</t>
    </rPh>
    <rPh sb="19" eb="21">
      <t>ハンテイ</t>
    </rPh>
    <rPh sb="28" eb="29">
      <t>ワリ</t>
    </rPh>
    <rPh sb="31" eb="32">
      <t>ワリ</t>
    </rPh>
    <rPh sb="34" eb="35">
      <t>ワリ</t>
    </rPh>
    <rPh sb="38" eb="40">
      <t>ケイゲン</t>
    </rPh>
    <phoneticPr fontId="4"/>
  </si>
  <si>
    <t>保険料試算の加入月数です（12月未満の場合
は、月数に応じて、試算結果から減額されます）。</t>
    <rPh sb="15" eb="16">
      <t>ツキ</t>
    </rPh>
    <rPh sb="16" eb="18">
      <t>ミマン</t>
    </rPh>
    <rPh sb="19" eb="21">
      <t>バアイ</t>
    </rPh>
    <rPh sb="24" eb="26">
      <t>ツキスウ</t>
    </rPh>
    <rPh sb="27" eb="28">
      <t>オウ</t>
    </rPh>
    <rPh sb="31" eb="33">
      <t>シサン</t>
    </rPh>
    <rPh sb="33" eb="35">
      <t>ケッカ</t>
    </rPh>
    <phoneticPr fontId="4"/>
  </si>
  <si>
    <t>所得（1,000～2000万円）</t>
    <rPh sb="0" eb="2">
      <t>ショトク</t>
    </rPh>
    <rPh sb="13" eb="15">
      <t>マンエン</t>
    </rPh>
    <phoneticPr fontId="3"/>
  </si>
  <si>
    <t>所得（2,000万円超）</t>
    <rPh sb="0" eb="2">
      <t>ショトク</t>
    </rPh>
    <rPh sb="8" eb="10">
      <t>マンエン</t>
    </rPh>
    <rPh sb="10" eb="11">
      <t>コ</t>
    </rPh>
    <phoneticPr fontId="3"/>
  </si>
  <si>
    <t>所得金額調整控除(軽減判定所得用)</t>
    <rPh sb="9" eb="11">
      <t>ケイゲン</t>
    </rPh>
    <rPh sb="11" eb="13">
      <t>ハンテイ</t>
    </rPh>
    <rPh sb="13" eb="15">
      <t>ショトク</t>
    </rPh>
    <rPh sb="15" eb="16">
      <t>ヨウ</t>
    </rPh>
    <phoneticPr fontId="3"/>
  </si>
  <si>
    <t>％</t>
    <phoneticPr fontId="4"/>
  </si>
  <si>
    <t>2024年分</t>
    <rPh sb="4" eb="5">
      <t>ネン</t>
    </rPh>
    <rPh sb="5" eb="6">
      <t>ブン</t>
    </rPh>
    <phoneticPr fontId="3"/>
  </si>
  <si>
    <t>令和8年3月以前</t>
    <rPh sb="5" eb="6">
      <t>ガツ</t>
    </rPh>
    <rPh sb="6" eb="8">
      <t>イゼン</t>
    </rPh>
    <phoneticPr fontId="4"/>
  </si>
  <si>
    <t>令和8年4月</t>
    <rPh sb="5" eb="6">
      <t>ガツ</t>
    </rPh>
    <phoneticPr fontId="4"/>
  </si>
  <si>
    <t>令和8年5月</t>
    <rPh sb="5" eb="6">
      <t>ガツ</t>
    </rPh>
    <phoneticPr fontId="4"/>
  </si>
  <si>
    <t>令和8年6月</t>
  </si>
  <si>
    <t>令和8年8月</t>
  </si>
  <si>
    <t>令和8年9月</t>
  </si>
  <si>
    <t>令和8年10月</t>
  </si>
  <si>
    <t>令和8年11月</t>
  </si>
  <si>
    <t>令和8年12月</t>
  </si>
  <si>
    <t>令和8年7月</t>
    <phoneticPr fontId="3"/>
  </si>
  <si>
    <t>令和9年1月</t>
  </si>
  <si>
    <t>令和9年2月</t>
  </si>
  <si>
    <t>令和9年3月</t>
  </si>
  <si>
    <t>(令和8年1月1日時点)</t>
    <rPh sb="6" eb="7">
      <t>ガツ</t>
    </rPh>
    <rPh sb="8" eb="9">
      <t>ニチ</t>
    </rPh>
    <rPh sb="9" eb="11">
      <t>ジテン</t>
    </rPh>
    <phoneticPr fontId="4"/>
  </si>
  <si>
    <t>あなたの令和8年度の保険料額の試算結果は</t>
    <rPh sb="10" eb="13">
      <t>ホケンリョウ</t>
    </rPh>
    <rPh sb="13" eb="14">
      <t>ガク</t>
    </rPh>
    <rPh sb="15" eb="17">
      <t>シサン</t>
    </rPh>
    <rPh sb="17" eb="19">
      <t>ケッカ</t>
    </rPh>
    <phoneticPr fontId="4"/>
  </si>
  <si>
    <t>軽減割合</t>
    <phoneticPr fontId="4"/>
  </si>
  <si>
    <t>(令和8年1月1日時点)</t>
    <rPh sb="1" eb="3">
      <t>レイワ</t>
    </rPh>
    <rPh sb="4" eb="5">
      <t>ネン</t>
    </rPh>
    <rPh sb="6" eb="7">
      <t>ガツ</t>
    </rPh>
    <rPh sb="8" eb="9">
      <t>ニチ</t>
    </rPh>
    <rPh sb="9" eb="11">
      <t>ジテン</t>
    </rPh>
    <phoneticPr fontId="4"/>
  </si>
  <si>
    <t>医 療 分</t>
    <rPh sb="0" eb="1">
      <t>イ</t>
    </rPh>
    <rPh sb="2" eb="3">
      <t>リョウ</t>
    </rPh>
    <rPh sb="4" eb="5">
      <t>ブン</t>
    </rPh>
    <phoneticPr fontId="4"/>
  </si>
  <si>
    <t>2025年分</t>
    <rPh sb="4" eb="5">
      <t>ネン</t>
    </rPh>
    <rPh sb="5" eb="6">
      <t>ブン</t>
    </rPh>
    <phoneticPr fontId="3"/>
  </si>
  <si>
    <r>
      <rPr>
        <b/>
        <sz val="12"/>
        <color theme="0"/>
        <rFont val="Meiryo UI"/>
        <family val="3"/>
        <charset val="128"/>
      </rPr>
      <t>合計保険料額</t>
    </r>
    <r>
      <rPr>
        <b/>
        <sz val="14"/>
        <color theme="0"/>
        <rFont val="Meiryo UI"/>
        <family val="3"/>
        <charset val="128"/>
      </rPr>
      <t xml:space="preserve">
</t>
    </r>
    <r>
      <rPr>
        <b/>
        <sz val="11"/>
        <color theme="0"/>
        <rFont val="Meiryo UI"/>
        <family val="3"/>
        <charset val="128"/>
      </rPr>
      <t>（医療分）</t>
    </r>
    <rPh sb="8" eb="10">
      <t>イリョウ</t>
    </rPh>
    <phoneticPr fontId="4"/>
  </si>
  <si>
    <t>均等割額②+所得割額③（100円未満切り捨て）</t>
    <rPh sb="0" eb="3">
      <t>キントウワ</t>
    </rPh>
    <rPh sb="3" eb="4">
      <t>ガク</t>
    </rPh>
    <rPh sb="6" eb="8">
      <t>ショトク</t>
    </rPh>
    <rPh sb="8" eb="9">
      <t>ワリ</t>
    </rPh>
    <rPh sb="9" eb="10">
      <t>ガク</t>
    </rPh>
    <rPh sb="15" eb="16">
      <t>エン</t>
    </rPh>
    <rPh sb="16" eb="18">
      <t>ミマン</t>
    </rPh>
    <rPh sb="18" eb="19">
      <t>キ</t>
    </rPh>
    <rPh sb="20" eb="21">
      <t>ス</t>
    </rPh>
    <phoneticPr fontId="4"/>
  </si>
  <si>
    <t>同じ世帯に他の被保険者
がいる場合は右記を入力</t>
    <phoneticPr fontId="4"/>
  </si>
  <si>
    <r>
      <rPr>
        <b/>
        <sz val="18"/>
        <color rgb="FF00B050"/>
        <rFont val="Meiryo UI"/>
        <family val="3"/>
        <charset val="128"/>
      </rPr>
      <t>■</t>
    </r>
    <r>
      <rPr>
        <b/>
        <sz val="18"/>
        <rFont val="Meiryo UI"/>
        <family val="3"/>
        <charset val="128"/>
      </rPr>
      <t>同じ世帯の他の被保険者情報２</t>
    </r>
    <rPh sb="1" eb="2">
      <t>オナ</t>
    </rPh>
    <rPh sb="3" eb="5">
      <t>セタイ</t>
    </rPh>
    <phoneticPr fontId="4"/>
  </si>
  <si>
    <r>
      <rPr>
        <b/>
        <sz val="18"/>
        <color rgb="FF00B050"/>
        <rFont val="Meiryo UI"/>
        <family val="3"/>
        <charset val="128"/>
      </rPr>
      <t>■</t>
    </r>
    <r>
      <rPr>
        <b/>
        <sz val="18"/>
        <rFont val="Meiryo UI"/>
        <family val="3"/>
        <charset val="128"/>
      </rPr>
      <t>同じ世帯の他の被保険者情報１</t>
    </r>
    <rPh sb="1" eb="2">
      <t>オナ</t>
    </rPh>
    <rPh sb="3" eb="5">
      <t>セタイ</t>
    </rPh>
    <phoneticPr fontId="4"/>
  </si>
  <si>
    <r>
      <rPr>
        <b/>
        <sz val="18"/>
        <color rgb="FF0070C0"/>
        <rFont val="Meiryo UI"/>
        <family val="3"/>
        <charset val="128"/>
      </rPr>
      <t>■</t>
    </r>
    <r>
      <rPr>
        <b/>
        <sz val="18"/>
        <rFont val="Meiryo UI"/>
        <family val="3"/>
        <charset val="128"/>
      </rPr>
      <t>試算する被保険者の情報</t>
    </r>
    <rPh sb="1" eb="3">
      <t>シサン</t>
    </rPh>
    <rPh sb="5" eb="9">
      <t>ヒホケンシャ</t>
    </rPh>
    <rPh sb="10" eb="12">
      <t>ジョウホウ</t>
    </rPh>
    <phoneticPr fontId="4"/>
  </si>
  <si>
    <t xml:space="preserve">  その他の所得（年額）</t>
    <phoneticPr fontId="4"/>
  </si>
  <si>
    <t>被保険者フラグ</t>
    <rPh sb="0" eb="4">
      <t>ヒホケンシャ</t>
    </rPh>
    <phoneticPr fontId="3"/>
  </si>
  <si>
    <t>（被保険者が同じ世帯にいる場合のみ入力してください）</t>
    <phoneticPr fontId="4"/>
  </si>
  <si>
    <t>（被保険者が同じ世帯にいる場合のみ入力してください）</t>
    <phoneticPr fontId="4"/>
  </si>
  <si>
    <t>選択してください</t>
    <rPh sb="0" eb="2">
      <t>センタク</t>
    </rPh>
    <phoneticPr fontId="3"/>
  </si>
  <si>
    <t xml:space="preserve">所得割率は埼玉県内で均一（9.49％）です。 </t>
    <rPh sb="5" eb="7">
      <t>サイタマ</t>
    </rPh>
    <phoneticPr fontId="4"/>
  </si>
  <si>
    <t xml:space="preserve">所得割率は埼玉県内で均一（0.25％）です。 </t>
    <rPh sb="5" eb="7">
      <t>サイタマ</t>
    </rPh>
    <phoneticPr fontId="4"/>
  </si>
  <si>
    <t>令和8年度の均等割額は1,330円です。
※軽減に該当する場合は軽減後の金額です。</t>
    <rPh sb="3" eb="4">
      <t>ネン</t>
    </rPh>
    <rPh sb="6" eb="8">
      <t>キントウ</t>
    </rPh>
    <rPh sb="8" eb="9">
      <t>ワリ</t>
    </rPh>
    <rPh sb="9" eb="10">
      <t>ガク</t>
    </rPh>
    <rPh sb="16" eb="17">
      <t>エン</t>
    </rPh>
    <rPh sb="22" eb="24">
      <t>ケイゲン</t>
    </rPh>
    <rPh sb="25" eb="27">
      <t>ガイトウ</t>
    </rPh>
    <rPh sb="29" eb="31">
      <t>バアイ</t>
    </rPh>
    <rPh sb="32" eb="34">
      <t>ケイゲン</t>
    </rPh>
    <rPh sb="34" eb="35">
      <t>ゴ</t>
    </rPh>
    <rPh sb="36" eb="38">
      <t>キンガク</t>
    </rPh>
    <phoneticPr fontId="4"/>
  </si>
  <si>
    <t>世帯の所得によって均等割額の軽減割合が判定
されます(7.2割,5割,2割または軽減なし)。</t>
    <rPh sb="9" eb="12">
      <t>キントウワ</t>
    </rPh>
    <rPh sb="12" eb="13">
      <t>ガク</t>
    </rPh>
    <rPh sb="16" eb="18">
      <t>ワリアイ</t>
    </rPh>
    <rPh sb="19" eb="21">
      <t>ハンテイ</t>
    </rPh>
    <rPh sb="30" eb="31">
      <t>ワリ</t>
    </rPh>
    <rPh sb="33" eb="34">
      <t>ワリ</t>
    </rPh>
    <rPh sb="36" eb="37">
      <t>ワリ</t>
    </rPh>
    <rPh sb="40" eb="42">
      <t>ケイゲン</t>
    </rPh>
    <phoneticPr fontId="4"/>
  </si>
  <si>
    <t>令和8年度の均等割額は52,370円です。
※軽減に該当する場合は軽減後の金額です。</t>
    <rPh sb="3" eb="4">
      <t>ネン</t>
    </rPh>
    <rPh sb="6" eb="8">
      <t>キントウ</t>
    </rPh>
    <rPh sb="8" eb="9">
      <t>ワリ</t>
    </rPh>
    <rPh sb="9" eb="10">
      <t>ガク</t>
    </rPh>
    <rPh sb="17" eb="18">
      <t>エン</t>
    </rPh>
    <rPh sb="23" eb="25">
      <t>ケイゲン</t>
    </rPh>
    <rPh sb="26" eb="28">
      <t>ガイトウ</t>
    </rPh>
    <rPh sb="30" eb="32">
      <t>バアイ</t>
    </rPh>
    <rPh sb="33" eb="35">
      <t>ケイゲン</t>
    </rPh>
    <rPh sb="35" eb="36">
      <t>ゴ</t>
    </rPh>
    <rPh sb="37" eb="39">
      <t>キンガク</t>
    </rPh>
    <phoneticPr fontId="4"/>
  </si>
  <si>
    <t>7.2</t>
    <phoneticPr fontId="3"/>
  </si>
  <si>
    <r>
      <rPr>
        <b/>
        <sz val="18"/>
        <color rgb="FFFF5050"/>
        <rFont val="Meiryo UI"/>
        <family val="3"/>
        <charset val="128"/>
      </rPr>
      <t>■</t>
    </r>
    <r>
      <rPr>
        <b/>
        <sz val="18"/>
        <rFont val="Meiryo UI"/>
        <family val="3"/>
        <charset val="128"/>
      </rPr>
      <t>被保険者ではない世帯主の情報　　（※世帯主が被保険者の場合は</t>
    </r>
    <r>
      <rPr>
        <b/>
        <sz val="18"/>
        <color rgb="FF00B050"/>
        <rFont val="Meiryo UI"/>
        <family val="3"/>
        <charset val="128"/>
      </rPr>
      <t>緑</t>
    </r>
    <r>
      <rPr>
        <b/>
        <sz val="18"/>
        <rFont val="Meiryo UI"/>
        <family val="3"/>
        <charset val="128"/>
      </rPr>
      <t>の「被保険者情報」へ入力してください）</t>
    </r>
    <rPh sb="1" eb="5">
      <t>ヒホケンシャ</t>
    </rPh>
    <rPh sb="9" eb="12">
      <t>セタイヌシ</t>
    </rPh>
    <rPh sb="13" eb="15">
      <t>ジョウホウ</t>
    </rPh>
    <rPh sb="43" eb="44">
      <t>チカラ</t>
    </rPh>
    <phoneticPr fontId="4"/>
  </si>
  <si>
    <r>
      <rPr>
        <b/>
        <sz val="12"/>
        <color theme="0"/>
        <rFont val="Meiryo UI"/>
        <family val="3"/>
        <charset val="128"/>
      </rPr>
      <t>合計保険料額</t>
    </r>
    <r>
      <rPr>
        <b/>
        <sz val="14"/>
        <color theme="0"/>
        <rFont val="Meiryo UI"/>
        <family val="3"/>
        <charset val="128"/>
      </rPr>
      <t xml:space="preserve">
</t>
    </r>
    <r>
      <rPr>
        <b/>
        <sz val="10"/>
        <color theme="0"/>
        <rFont val="Meiryo UI"/>
        <family val="3"/>
        <charset val="128"/>
      </rPr>
      <t>（子ども分）</t>
    </r>
    <rPh sb="0" eb="2">
      <t>ゴウケイ</t>
    </rPh>
    <rPh sb="2" eb="5">
      <t>ホケンリョウ</t>
    </rPh>
    <rPh sb="5" eb="6">
      <t>ガク</t>
    </rPh>
    <rPh sb="8" eb="9">
      <t>コ</t>
    </rPh>
    <rPh sb="11" eb="12">
      <t>ブン</t>
    </rPh>
    <phoneticPr fontId="4"/>
  </si>
  <si>
    <t>※②と③は、それぞれ10円未満の端数を切捨てます。
※合計保険料額は、②と③を合計して、100円未満の端数を切捨てます。
※令和8年度の医療分の限度額は、年額85万円になります。</t>
    <rPh sb="27" eb="29">
      <t>ゴウケイ</t>
    </rPh>
    <rPh sb="39" eb="41">
      <t>ゴウケイ</t>
    </rPh>
    <rPh sb="47" eb="48">
      <t>エン</t>
    </rPh>
    <rPh sb="48" eb="50">
      <t>ミマン</t>
    </rPh>
    <rPh sb="51" eb="53">
      <t>ハスウ</t>
    </rPh>
    <rPh sb="54" eb="56">
      <t>キリス</t>
    </rPh>
    <rPh sb="68" eb="70">
      <t>イリョウ</t>
    </rPh>
    <rPh sb="70" eb="71">
      <t>ブン</t>
    </rPh>
    <rPh sb="77" eb="79">
      <t>ネンガク</t>
    </rPh>
    <phoneticPr fontId="4"/>
  </si>
  <si>
    <t>※②と③は、それぞれ10円未満の端数を切捨てます。
※保険料額は、②と③を合計して、100円未満の端数を切捨てます。
※令和8年度の子ども分の限度額は、年額2万1千円になります。</t>
    <rPh sb="37" eb="39">
      <t>ゴウケイ</t>
    </rPh>
    <rPh sb="45" eb="46">
      <t>エン</t>
    </rPh>
    <rPh sb="46" eb="48">
      <t>ミマン</t>
    </rPh>
    <rPh sb="49" eb="51">
      <t>ハスウ</t>
    </rPh>
    <rPh sb="52" eb="54">
      <t>キリス</t>
    </rPh>
    <rPh sb="66" eb="67">
      <t>コ</t>
    </rPh>
    <rPh sb="69" eb="70">
      <t>ブン</t>
    </rPh>
    <rPh sb="76" eb="78">
      <t>ネンガク</t>
    </rPh>
    <rPh sb="81" eb="82">
      <t>セン</t>
    </rPh>
    <phoneticPr fontId="4"/>
  </si>
  <si>
    <t>被保険者でない世帯主が
いる場合は右記を入力</t>
    <rPh sb="0" eb="4">
      <t>ヒホケンシャ</t>
    </rPh>
    <rPh sb="7" eb="10">
      <t>セタイヌシ</t>
    </rPh>
    <rPh sb="14" eb="16">
      <t>バアイ</t>
    </rPh>
    <rPh sb="17" eb="19">
      <t>ウキ</t>
    </rPh>
    <rPh sb="20" eb="22">
      <t>ニュウリョク</t>
    </rPh>
    <phoneticPr fontId="4"/>
  </si>
  <si>
    <r>
      <t>　　　　　　　　　　　　　子ども分  　</t>
    </r>
    <r>
      <rPr>
        <b/>
        <sz val="15"/>
        <color rgb="FFFF3399"/>
        <rFont val="Meiryo UI"/>
        <family val="3"/>
        <charset val="128"/>
      </rPr>
      <t>※子ども・子育て支援納付金分</t>
    </r>
    <rPh sb="14" eb="15">
      <t>ブン</t>
    </rPh>
    <rPh sb="19" eb="20">
      <t>コ</t>
    </rPh>
    <rPh sb="23" eb="25">
      <t>コソダ</t>
    </rPh>
    <rPh sb="26" eb="28">
      <t>シエン</t>
    </rPh>
    <rPh sb="28" eb="31">
      <t>ノウフキン</t>
    </rPh>
    <rPh sb="31" eb="32">
      <t>ブン</t>
    </rPh>
    <phoneticPr fontId="4"/>
  </si>
  <si>
    <t>選択してください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</si>
</sst>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&quot;月&quot;"/>
    <numFmt numFmtId="177" formatCode="#,##0_ "/>
    <numFmt numFmtId="178" formatCode="0_ "/>
    <numFmt numFmtId="179" formatCode="#,##0_);[Red]\(#,##0\)"/>
    <numFmt numFmtId="180" formatCode="0.0%"/>
    <numFmt numFmtId="181" formatCode="0.0"/>
    <numFmt numFmtId="182" formatCode="0_);[Red]\(0\)"/>
  </numFmts>
  <fonts count="64" x14ac:knownFonts="1">
    <font>
      <sz val="10"/>
      <color theme="1"/>
      <name val="Meiryo UI"/>
      <family val="2"/>
      <charset val="128"/>
    </font>
    <font>
      <sz val="10"/>
      <color theme="1"/>
      <name val="Meiryo UI"/>
      <family val="2"/>
      <charset val="128"/>
    </font>
    <font>
      <sz val="9"/>
      <name val="Meiryo UI"/>
      <family val="3"/>
      <charset val="128"/>
    </font>
    <font>
      <sz val="6"/>
      <name val="Meiryo UI"/>
      <family val="2"/>
      <charset val="128"/>
    </font>
    <font>
      <sz val="6"/>
      <name val="ＭＳ Ｐゴシック"/>
      <family val="3"/>
      <charset val="128"/>
    </font>
    <font>
      <sz val="10"/>
      <name val="Meiryo UI"/>
      <family val="3"/>
      <charset val="128"/>
    </font>
    <font>
      <sz val="10"/>
      <color theme="1"/>
      <name val="Meiryo UI"/>
      <family val="3"/>
      <charset val="128"/>
    </font>
    <font>
      <b/>
      <sz val="11"/>
      <name val="Meiryo UI"/>
      <family val="3"/>
      <charset val="128"/>
    </font>
    <font>
      <sz val="9"/>
      <color theme="1"/>
      <name val="Meiryo UI"/>
      <family val="2"/>
      <charset val="128"/>
    </font>
    <font>
      <sz val="9"/>
      <color theme="1"/>
      <name val="Meiryo UI"/>
      <family val="3"/>
      <charset val="128"/>
    </font>
    <font>
      <sz val="12"/>
      <name val="Meiryo UI"/>
      <family val="3"/>
      <charset val="128"/>
    </font>
    <font>
      <sz val="12"/>
      <color theme="1"/>
      <name val="Meiryo UI"/>
      <family val="3"/>
      <charset val="128"/>
    </font>
    <font>
      <sz val="8"/>
      <name val="Meiryo UI"/>
      <family val="3"/>
      <charset val="128"/>
    </font>
    <font>
      <sz val="10"/>
      <name val="ＭＳ Ｐゴシック"/>
      <family val="3"/>
      <charset val="128"/>
      <scheme val="minor"/>
    </font>
    <font>
      <b/>
      <sz val="14"/>
      <name val="Meiryo UI"/>
      <family val="3"/>
      <charset val="128"/>
    </font>
    <font>
      <b/>
      <sz val="18"/>
      <name val="Meiryo UI"/>
      <family val="3"/>
      <charset val="128"/>
    </font>
    <font>
      <b/>
      <sz val="18"/>
      <color rgb="FFFFC000"/>
      <name val="Meiryo UI"/>
      <family val="3"/>
      <charset val="128"/>
    </font>
    <font>
      <b/>
      <sz val="18"/>
      <color theme="1"/>
      <name val="Meiryo UI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Meiryo UI"/>
      <family val="2"/>
      <charset val="128"/>
    </font>
    <font>
      <sz val="12"/>
      <name val="Meiryo UI"/>
      <family val="2"/>
      <charset val="128"/>
    </font>
    <font>
      <sz val="11"/>
      <color theme="1"/>
      <name val="Meiryo UI"/>
      <family val="3"/>
      <charset val="128"/>
    </font>
    <font>
      <b/>
      <sz val="24"/>
      <name val="Segoe Print"/>
    </font>
    <font>
      <sz val="16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b/>
      <sz val="16"/>
      <name val="Meiryo UI"/>
      <family val="3"/>
      <charset val="128"/>
    </font>
    <font>
      <b/>
      <sz val="14"/>
      <color theme="1"/>
      <name val="Meiryo UI"/>
      <family val="3"/>
      <charset val="128"/>
    </font>
    <font>
      <b/>
      <sz val="14"/>
      <color theme="0"/>
      <name val="Meiryo UI"/>
      <family val="3"/>
      <charset val="128"/>
    </font>
    <font>
      <sz val="13"/>
      <color theme="1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14"/>
      <color indexed="9"/>
      <name val="Meiryo UI"/>
      <family val="3"/>
      <charset val="128"/>
    </font>
    <font>
      <b/>
      <sz val="20"/>
      <name val="Meiryo UI"/>
      <family val="3"/>
      <charset val="128"/>
    </font>
    <font>
      <sz val="10"/>
      <color indexed="8"/>
      <name val="Meiryo UI"/>
      <family val="3"/>
      <charset val="128"/>
    </font>
    <font>
      <sz val="16"/>
      <color indexed="8"/>
      <name val="Meiryo UI"/>
      <family val="3"/>
      <charset val="128"/>
    </font>
    <font>
      <sz val="15"/>
      <color indexed="8"/>
      <name val="Meiryo UI"/>
      <family val="3"/>
      <charset val="128"/>
    </font>
    <font>
      <b/>
      <sz val="22"/>
      <color indexed="10"/>
      <name val="Meiryo UI"/>
      <family val="3"/>
      <charset val="128"/>
    </font>
    <font>
      <b/>
      <sz val="20"/>
      <color theme="0"/>
      <name val="Meiryo UI"/>
      <family val="3"/>
      <charset val="128"/>
    </font>
    <font>
      <b/>
      <sz val="16"/>
      <color rgb="FFFF0000"/>
      <name val="Meiryo UI"/>
      <family val="3"/>
      <charset val="128"/>
    </font>
    <font>
      <b/>
      <sz val="12"/>
      <color theme="1"/>
      <name val="Meiryo UI"/>
      <family val="3"/>
      <charset val="128"/>
    </font>
    <font>
      <b/>
      <sz val="20"/>
      <color theme="1"/>
      <name val="Meiryo UI"/>
      <family val="3"/>
      <charset val="128"/>
    </font>
    <font>
      <sz val="10"/>
      <color indexed="9"/>
      <name val="Meiryo UI"/>
      <family val="3"/>
      <charset val="128"/>
    </font>
    <font>
      <b/>
      <sz val="20"/>
      <color indexed="9"/>
      <name val="Meiryo UI"/>
      <family val="3"/>
      <charset val="128"/>
    </font>
    <font>
      <b/>
      <sz val="12"/>
      <color indexed="9"/>
      <name val="Meiryo UI"/>
      <family val="3"/>
      <charset val="128"/>
    </font>
    <font>
      <sz val="18"/>
      <color indexed="10"/>
      <name val="Meiryo UI"/>
      <family val="3"/>
      <charset val="128"/>
    </font>
    <font>
      <b/>
      <sz val="12"/>
      <color theme="0"/>
      <name val="Meiryo UI"/>
      <family val="3"/>
      <charset val="128"/>
    </font>
    <font>
      <b/>
      <sz val="11"/>
      <color theme="0"/>
      <name val="Meiryo UI"/>
      <family val="3"/>
      <charset val="128"/>
    </font>
    <font>
      <b/>
      <sz val="10"/>
      <color theme="0"/>
      <name val="Meiryo UI"/>
      <family val="3"/>
      <charset val="128"/>
    </font>
    <font>
      <b/>
      <sz val="18"/>
      <color rgb="FFFF5050"/>
      <name val="Meiryo UI"/>
      <family val="3"/>
      <charset val="128"/>
    </font>
    <font>
      <b/>
      <sz val="18"/>
      <color rgb="FF00B050"/>
      <name val="Meiryo UI"/>
      <family val="3"/>
      <charset val="128"/>
    </font>
    <font>
      <b/>
      <sz val="18"/>
      <color rgb="FF0070C0"/>
      <name val="Meiryo UI"/>
      <family val="3"/>
      <charset val="128"/>
    </font>
    <font>
      <b/>
      <sz val="22"/>
      <color theme="3"/>
      <name val="Meiryo UI"/>
      <family val="3"/>
      <charset val="128"/>
    </font>
    <font>
      <b/>
      <sz val="22"/>
      <color rgb="FFFFC000"/>
      <name val="Meiryo UI"/>
      <family val="3"/>
      <charset val="128"/>
    </font>
    <font>
      <b/>
      <sz val="22"/>
      <color indexed="9"/>
      <name val="Meiryo UI"/>
      <family val="3"/>
      <charset val="128"/>
    </font>
    <font>
      <b/>
      <sz val="22"/>
      <color rgb="FFFF3399"/>
      <name val="Meiryo UI"/>
      <family val="3"/>
      <charset val="128"/>
    </font>
    <font>
      <b/>
      <sz val="18"/>
      <color theme="0"/>
      <name val="Meiryo UI"/>
      <family val="3"/>
      <charset val="128"/>
    </font>
    <font>
      <b/>
      <sz val="18"/>
      <color indexed="10"/>
      <name val="Meiryo UI"/>
      <family val="3"/>
      <charset val="128"/>
    </font>
    <font>
      <b/>
      <sz val="18"/>
      <color indexed="12"/>
      <name val="Meiryo UI"/>
      <family val="3"/>
      <charset val="128"/>
    </font>
    <font>
      <b/>
      <sz val="24"/>
      <color indexed="10"/>
      <name val="Meiryo UI"/>
      <family val="3"/>
      <charset val="128"/>
    </font>
    <font>
      <sz val="20"/>
      <color theme="1"/>
      <name val="Meiryo UI"/>
      <family val="3"/>
      <charset val="128"/>
    </font>
    <font>
      <sz val="18"/>
      <name val="Meiryo UI"/>
      <family val="3"/>
      <charset val="128"/>
    </font>
    <font>
      <b/>
      <sz val="20"/>
      <color rgb="FFFF0000"/>
      <name val="Meiryo UI"/>
      <family val="3"/>
      <charset val="128"/>
    </font>
    <font>
      <b/>
      <sz val="18"/>
      <color theme="3"/>
      <name val="Meiryo UI"/>
      <family val="3"/>
      <charset val="128"/>
    </font>
    <font>
      <b/>
      <sz val="13"/>
      <color theme="1"/>
      <name val="Meiryo UI"/>
      <family val="3"/>
      <charset val="128"/>
    </font>
    <font>
      <b/>
      <sz val="15"/>
      <color rgb="FFFF3399"/>
      <name val="Meiryo UI"/>
      <family val="3"/>
      <charset val="128"/>
    </font>
  </fonts>
  <fills count="1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6699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66DC5A"/>
        <bgColor indexed="64"/>
      </patternFill>
    </fill>
    <fill>
      <patternFill patternType="solid">
        <fgColor rgb="FF92CDF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5C666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8" fillId="0" borderId="0">
      <alignment vertical="center"/>
    </xf>
  </cellStyleXfs>
  <cellXfs count="252">
    <xf numFmtId="0" fontId="0" fillId="0" borderId="0" xfId="0">
      <alignment vertical="center"/>
    </xf>
    <xf numFmtId="0" fontId="8" fillId="0" borderId="0" xfId="0" applyFont="1">
      <alignment vertical="center"/>
    </xf>
    <xf numFmtId="1" fontId="0" fillId="0" borderId="0" xfId="0" applyNumberFormat="1">
      <alignment vertical="center"/>
    </xf>
    <xf numFmtId="0" fontId="19" fillId="0" borderId="1" xfId="0" applyFont="1" applyBorder="1" applyAlignment="1">
      <alignment horizontal="right" vertical="center"/>
    </xf>
    <xf numFmtId="0" fontId="11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11" fillId="0" borderId="0" xfId="0" applyFont="1" applyAlignment="1">
      <alignment horizontal="right" vertical="center"/>
    </xf>
    <xf numFmtId="0" fontId="10" fillId="0" borderId="0" xfId="0" applyFont="1" applyAlignment="1">
      <alignment horizontal="center"/>
    </xf>
    <xf numFmtId="0" fontId="11" fillId="0" borderId="0" xfId="0" applyFont="1">
      <alignment vertical="center"/>
    </xf>
    <xf numFmtId="57" fontId="10" fillId="0" borderId="0" xfId="0" applyNumberFormat="1" applyFont="1" applyAlignment="1"/>
    <xf numFmtId="0" fontId="10" fillId="0" borderId="1" xfId="0" applyFont="1" applyBorder="1" applyAlignment="1">
      <alignment horizontal="right"/>
    </xf>
    <xf numFmtId="0" fontId="10" fillId="0" borderId="0" xfId="0" applyFont="1" applyAlignment="1">
      <alignment horizontal="right"/>
    </xf>
    <xf numFmtId="0" fontId="10" fillId="0" borderId="1" xfId="0" applyFont="1" applyBorder="1" applyAlignment="1">
      <alignment horizontal="center" wrapText="1"/>
    </xf>
    <xf numFmtId="0" fontId="10" fillId="0" borderId="0" xfId="0" applyFont="1" applyAlignment="1"/>
    <xf numFmtId="0" fontId="10" fillId="0" borderId="0" xfId="0" applyFont="1" applyAlignment="1">
      <alignment horizontal="center" wrapText="1"/>
    </xf>
    <xf numFmtId="38" fontId="10" fillId="0" borderId="1" xfId="1" applyFont="1" applyBorder="1" applyAlignment="1"/>
    <xf numFmtId="0" fontId="19" fillId="2" borderId="1" xfId="0" applyFont="1" applyFill="1" applyBorder="1" applyAlignment="1">
      <alignment horizontal="right" vertical="center"/>
    </xf>
    <xf numFmtId="0" fontId="2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wrapText="1"/>
    </xf>
    <xf numFmtId="0" fontId="11" fillId="2" borderId="1" xfId="0" applyFont="1" applyFill="1" applyBorder="1">
      <alignment vertical="center"/>
    </xf>
    <xf numFmtId="0" fontId="11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right"/>
    </xf>
    <xf numFmtId="38" fontId="10" fillId="0" borderId="1" xfId="1" applyFont="1" applyBorder="1" applyAlignment="1">
      <alignment vertical="center"/>
    </xf>
    <xf numFmtId="38" fontId="11" fillId="0" borderId="1" xfId="1" applyFont="1" applyBorder="1">
      <alignment vertical="center"/>
    </xf>
    <xf numFmtId="0" fontId="11" fillId="2" borderId="2" xfId="0" applyFont="1" applyFill="1" applyBorder="1" applyAlignment="1">
      <alignment horizontal="center" vertical="center"/>
    </xf>
    <xf numFmtId="38" fontId="10" fillId="0" borderId="2" xfId="1" applyFont="1" applyBorder="1" applyAlignment="1"/>
    <xf numFmtId="179" fontId="10" fillId="0" borderId="1" xfId="0" applyNumberFormat="1" applyFont="1" applyBorder="1" applyAlignment="1">
      <alignment horizontal="center"/>
    </xf>
    <xf numFmtId="179" fontId="11" fillId="0" borderId="1" xfId="0" applyNumberFormat="1" applyFont="1" applyBorder="1">
      <alignment vertical="center"/>
    </xf>
    <xf numFmtId="179" fontId="10" fillId="0" borderId="1" xfId="0" applyNumberFormat="1" applyFont="1" applyBorder="1" applyAlignment="1"/>
    <xf numFmtId="0" fontId="19" fillId="2" borderId="1" xfId="0" applyFont="1" applyFill="1" applyBorder="1" applyAlignment="1">
      <alignment horizontal="center" vertical="center"/>
    </xf>
    <xf numFmtId="179" fontId="10" fillId="0" borderId="1" xfId="0" applyNumberFormat="1" applyFont="1" applyBorder="1" applyAlignment="1">
      <alignment horizontal="right"/>
    </xf>
    <xf numFmtId="0" fontId="19" fillId="0" borderId="0" xfId="0" applyFont="1">
      <alignment vertical="center"/>
    </xf>
    <xf numFmtId="3" fontId="11" fillId="0" borderId="1" xfId="0" applyNumberFormat="1" applyFont="1" applyBorder="1">
      <alignment vertical="center"/>
    </xf>
    <xf numFmtId="38" fontId="11" fillId="3" borderId="1" xfId="1" applyFont="1" applyFill="1" applyBorder="1">
      <alignment vertical="center"/>
    </xf>
    <xf numFmtId="38" fontId="11" fillId="0" borderId="1" xfId="0" applyNumberFormat="1" applyFont="1" applyBorder="1">
      <alignment vertical="center"/>
    </xf>
    <xf numFmtId="38" fontId="11" fillId="3" borderId="1" xfId="1" applyFont="1" applyFill="1" applyBorder="1" applyAlignment="1">
      <alignment vertical="center"/>
    </xf>
    <xf numFmtId="0" fontId="11" fillId="0" borderId="1" xfId="0" applyFont="1" applyBorder="1" applyAlignment="1">
      <alignment horizontal="right" vertical="center"/>
    </xf>
    <xf numFmtId="0" fontId="21" fillId="2" borderId="1" xfId="0" applyFont="1" applyFill="1" applyBorder="1" applyAlignment="1">
      <alignment horizontal="center" vertical="center" wrapText="1" shrinkToFit="1"/>
    </xf>
    <xf numFmtId="0" fontId="21" fillId="2" borderId="1" xfId="0" applyFont="1" applyFill="1" applyBorder="1" applyAlignment="1">
      <alignment horizontal="center" vertical="center" shrinkToFit="1"/>
    </xf>
    <xf numFmtId="38" fontId="11" fillId="4" borderId="1" xfId="1" applyFont="1" applyFill="1" applyBorder="1" applyAlignment="1">
      <alignment horizontal="right" vertical="center"/>
    </xf>
    <xf numFmtId="38" fontId="11" fillId="4" borderId="1" xfId="1" applyFont="1" applyFill="1" applyBorder="1" applyAlignment="1">
      <alignment vertical="center"/>
    </xf>
    <xf numFmtId="0" fontId="19" fillId="2" borderId="1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shrinkToFit="1"/>
    </xf>
    <xf numFmtId="38" fontId="19" fillId="0" borderId="1" xfId="1" applyFont="1" applyBorder="1">
      <alignment vertical="center"/>
    </xf>
    <xf numFmtId="180" fontId="10" fillId="0" borderId="1" xfId="0" applyNumberFormat="1" applyFont="1" applyBorder="1" applyAlignment="1">
      <alignment horizontal="right"/>
    </xf>
    <xf numFmtId="49" fontId="11" fillId="0" borderId="1" xfId="0" applyNumberFormat="1" applyFont="1" applyBorder="1" applyAlignment="1">
      <alignment horizontal="right" vertical="center"/>
    </xf>
    <xf numFmtId="3" fontId="11" fillId="0" borderId="0" xfId="0" applyNumberFormat="1" applyFont="1">
      <alignment vertical="center"/>
    </xf>
    <xf numFmtId="0" fontId="11" fillId="0" borderId="0" xfId="0" applyFont="1" applyAlignment="1">
      <alignment horizontal="center" vertical="center"/>
    </xf>
    <xf numFmtId="3" fontId="11" fillId="6" borderId="1" xfId="0" applyNumberFormat="1" applyFont="1" applyFill="1" applyBorder="1">
      <alignment vertical="center"/>
    </xf>
    <xf numFmtId="0" fontId="19" fillId="6" borderId="1" xfId="0" applyFont="1" applyFill="1" applyBorder="1">
      <alignment vertical="center"/>
    </xf>
    <xf numFmtId="0" fontId="11" fillId="0" borderId="1" xfId="0" applyFont="1" applyBorder="1" applyAlignment="1">
      <alignment horizontal="center" vertical="center" shrinkToFit="1"/>
    </xf>
    <xf numFmtId="3" fontId="11" fillId="0" borderId="1" xfId="0" applyNumberFormat="1" applyFont="1" applyBorder="1" applyAlignment="1">
      <alignment vertical="center" shrinkToFit="1"/>
    </xf>
    <xf numFmtId="38" fontId="11" fillId="0" borderId="1" xfId="1" applyFont="1" applyBorder="1" applyAlignment="1">
      <alignment vertical="center" shrinkToFit="1"/>
    </xf>
    <xf numFmtId="0" fontId="10" fillId="0" borderId="1" xfId="0" applyFont="1" applyBorder="1" applyAlignment="1">
      <alignment horizontal="center" shrinkToFit="1"/>
    </xf>
    <xf numFmtId="3" fontId="11" fillId="6" borderId="1" xfId="0" applyNumberFormat="1" applyFont="1" applyFill="1" applyBorder="1" applyAlignment="1">
      <alignment horizontal="right" vertical="center"/>
    </xf>
    <xf numFmtId="3" fontId="11" fillId="6" borderId="1" xfId="0" applyNumberFormat="1" applyFont="1" applyFill="1" applyBorder="1" applyAlignment="1">
      <alignment horizontal="right" vertical="center" shrinkToFit="1"/>
    </xf>
    <xf numFmtId="0" fontId="10" fillId="2" borderId="13" xfId="0" applyFont="1" applyFill="1" applyBorder="1" applyAlignment="1">
      <alignment horizontal="center" vertical="center" textRotation="255"/>
    </xf>
    <xf numFmtId="0" fontId="0" fillId="0" borderId="1" xfId="0" applyBorder="1">
      <alignment vertical="center"/>
    </xf>
    <xf numFmtId="0" fontId="0" fillId="0" borderId="1" xfId="0" applyBorder="1" applyAlignment="1">
      <alignment vertical="center" shrinkToFit="1"/>
    </xf>
    <xf numFmtId="38" fontId="0" fillId="0" borderId="0" xfId="0" applyNumberFormat="1">
      <alignment vertical="center"/>
    </xf>
    <xf numFmtId="0" fontId="11" fillId="4" borderId="1" xfId="0" applyFont="1" applyFill="1" applyBorder="1">
      <alignment vertical="center"/>
    </xf>
    <xf numFmtId="57" fontId="10" fillId="4" borderId="1" xfId="0" applyNumberFormat="1" applyFont="1" applyFill="1" applyBorder="1" applyAlignment="1"/>
    <xf numFmtId="182" fontId="10" fillId="4" borderId="1" xfId="0" applyNumberFormat="1" applyFont="1" applyFill="1" applyBorder="1" applyAlignment="1"/>
    <xf numFmtId="178" fontId="11" fillId="4" borderId="1" xfId="0" applyNumberFormat="1" applyFont="1" applyFill="1" applyBorder="1">
      <alignment vertical="center"/>
    </xf>
    <xf numFmtId="0" fontId="8" fillId="4" borderId="1" xfId="0" applyFont="1" applyFill="1" applyBorder="1">
      <alignment vertical="center"/>
    </xf>
    <xf numFmtId="179" fontId="8" fillId="4" borderId="1" xfId="0" applyNumberFormat="1" applyFont="1" applyFill="1" applyBorder="1">
      <alignment vertical="center"/>
    </xf>
    <xf numFmtId="0" fontId="19" fillId="4" borderId="1" xfId="0" applyFont="1" applyFill="1" applyBorder="1" applyAlignment="1">
      <alignment horizontal="center" vertical="center" wrapText="1"/>
    </xf>
    <xf numFmtId="0" fontId="0" fillId="4" borderId="1" xfId="0" applyFill="1" applyBorder="1">
      <alignment vertical="center"/>
    </xf>
    <xf numFmtId="0" fontId="8" fillId="7" borderId="1" xfId="0" applyFont="1" applyFill="1" applyBorder="1">
      <alignment vertical="center"/>
    </xf>
    <xf numFmtId="179" fontId="8" fillId="7" borderId="1" xfId="0" applyNumberFormat="1" applyFont="1" applyFill="1" applyBorder="1">
      <alignment vertical="center"/>
    </xf>
    <xf numFmtId="182" fontId="10" fillId="7" borderId="1" xfId="0" applyNumberFormat="1" applyFont="1" applyFill="1" applyBorder="1" applyAlignment="1"/>
    <xf numFmtId="38" fontId="19" fillId="0" borderId="0" xfId="1" applyFont="1">
      <alignment vertical="center"/>
    </xf>
    <xf numFmtId="182" fontId="8" fillId="7" borderId="1" xfId="1" applyNumberFormat="1" applyFont="1" applyFill="1" applyBorder="1">
      <alignment vertical="center"/>
    </xf>
    <xf numFmtId="0" fontId="11" fillId="4" borderId="1" xfId="2" applyNumberFormat="1" applyFont="1" applyFill="1" applyBorder="1" applyAlignment="1">
      <alignment vertical="center"/>
    </xf>
    <xf numFmtId="0" fontId="19" fillId="4" borderId="1" xfId="0" applyFont="1" applyFill="1" applyBorder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15" fillId="0" borderId="0" xfId="0" applyFont="1">
      <alignment vertical="center"/>
    </xf>
    <xf numFmtId="0" fontId="14" fillId="0" borderId="2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12" fillId="0" borderId="0" xfId="0" applyFont="1" applyAlignment="1">
      <alignment vertical="center" textRotation="255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shrinkToFit="1"/>
    </xf>
    <xf numFmtId="57" fontId="5" fillId="0" borderId="0" xfId="0" applyNumberFormat="1" applyFont="1">
      <alignment vertical="center"/>
    </xf>
    <xf numFmtId="57" fontId="13" fillId="0" borderId="0" xfId="0" applyNumberFormat="1" applyFont="1" applyAlignment="1">
      <alignment horizontal="center" vertical="center"/>
    </xf>
    <xf numFmtId="176" fontId="5" fillId="0" borderId="0" xfId="0" applyNumberFormat="1" applyFont="1">
      <alignment vertical="center"/>
    </xf>
    <xf numFmtId="3" fontId="5" fillId="0" borderId="0" xfId="0" applyNumberFormat="1" applyFont="1">
      <alignment vertical="center"/>
    </xf>
    <xf numFmtId="0" fontId="5" fillId="0" borderId="0" xfId="0" applyFont="1" applyAlignment="1">
      <alignment vertical="center" shrinkToFit="1"/>
    </xf>
    <xf numFmtId="0" fontId="5" fillId="0" borderId="0" xfId="0" applyFont="1" applyAlignment="1">
      <alignment horizontal="center" vertical="center" shrinkToFit="1"/>
    </xf>
    <xf numFmtId="3" fontId="5" fillId="0" borderId="0" xfId="0" applyNumberFormat="1" applyFont="1" applyAlignment="1">
      <alignment horizontal="right" vertical="center"/>
    </xf>
    <xf numFmtId="0" fontId="9" fillId="0" borderId="0" xfId="0" applyFont="1">
      <alignment vertical="center"/>
    </xf>
    <xf numFmtId="57" fontId="5" fillId="0" borderId="0" xfId="0" applyNumberFormat="1" applyFont="1" applyAlignment="1">
      <alignment horizontal="right" vertical="center"/>
    </xf>
    <xf numFmtId="176" fontId="5" fillId="0" borderId="0" xfId="0" applyNumberFormat="1" applyFont="1" applyAlignment="1">
      <alignment horizontal="right" vertical="center"/>
    </xf>
    <xf numFmtId="57" fontId="5" fillId="0" borderId="0" xfId="0" applyNumberFormat="1" applyFont="1" applyAlignment="1">
      <alignment horizontal="center" vertical="center" shrinkToFit="1"/>
    </xf>
    <xf numFmtId="0" fontId="23" fillId="0" borderId="0" xfId="0" applyFont="1" applyAlignment="1">
      <alignment vertical="top"/>
    </xf>
    <xf numFmtId="0" fontId="24" fillId="0" borderId="0" xfId="0" applyFont="1" applyAlignment="1">
      <alignment vertical="top"/>
    </xf>
    <xf numFmtId="0" fontId="28" fillId="0" borderId="0" xfId="0" applyFont="1" applyAlignment="1">
      <alignment vertical="top"/>
    </xf>
    <xf numFmtId="0" fontId="40" fillId="0" borderId="0" xfId="0" applyFont="1">
      <alignment vertical="center"/>
    </xf>
    <xf numFmtId="0" fontId="32" fillId="0" borderId="0" xfId="0" applyFont="1">
      <alignment vertical="center"/>
    </xf>
    <xf numFmtId="0" fontId="33" fillId="0" borderId="0" xfId="0" applyFont="1" applyAlignment="1">
      <alignment vertical="top"/>
    </xf>
    <xf numFmtId="58" fontId="34" fillId="0" borderId="14" xfId="0" applyNumberFormat="1" applyFont="1" applyBorder="1" applyAlignment="1"/>
    <xf numFmtId="0" fontId="24" fillId="0" borderId="0" xfId="0" applyFont="1" applyAlignment="1"/>
    <xf numFmtId="0" fontId="16" fillId="0" borderId="0" xfId="0" applyFont="1">
      <alignment vertical="center"/>
    </xf>
    <xf numFmtId="177" fontId="15" fillId="0" borderId="7" xfId="0" applyNumberFormat="1" applyFont="1" applyBorder="1" applyAlignment="1">
      <alignment horizontal="right" vertical="center"/>
    </xf>
    <xf numFmtId="0" fontId="39" fillId="0" borderId="7" xfId="0" applyFont="1" applyBorder="1" applyAlignment="1"/>
    <xf numFmtId="0" fontId="15" fillId="0" borderId="8" xfId="0" applyFont="1" applyBorder="1">
      <alignment vertical="center"/>
    </xf>
    <xf numFmtId="0" fontId="6" fillId="0" borderId="0" xfId="0" applyFont="1" applyAlignment="1">
      <alignment vertical="top"/>
    </xf>
    <xf numFmtId="0" fontId="25" fillId="0" borderId="0" xfId="0" applyFont="1" applyAlignment="1">
      <alignment horizontal="center" vertical="center"/>
    </xf>
    <xf numFmtId="177" fontId="57" fillId="0" borderId="0" xfId="0" applyNumberFormat="1" applyFont="1" applyAlignment="1">
      <alignment horizontal="right" vertical="center" shrinkToFit="1"/>
    </xf>
    <xf numFmtId="177" fontId="31" fillId="0" borderId="0" xfId="0" applyNumberFormat="1" applyFont="1" applyAlignment="1">
      <alignment horizontal="left"/>
    </xf>
    <xf numFmtId="177" fontId="15" fillId="0" borderId="0" xfId="0" applyNumberFormat="1" applyFont="1" applyAlignment="1">
      <alignment horizontal="right" vertical="center"/>
    </xf>
    <xf numFmtId="0" fontId="35" fillId="0" borderId="0" xfId="0" applyFont="1" applyAlignment="1">
      <alignment horizontal="center" vertical="center"/>
    </xf>
    <xf numFmtId="0" fontId="39" fillId="0" borderId="0" xfId="0" applyFont="1" applyAlignment="1"/>
    <xf numFmtId="0" fontId="36" fillId="0" borderId="0" xfId="0" applyFont="1" applyAlignment="1">
      <alignment horizontal="center" vertical="center" shrinkToFit="1"/>
    </xf>
    <xf numFmtId="0" fontId="41" fillId="0" borderId="0" xfId="0" applyFont="1" applyAlignment="1">
      <alignment horizontal="center" vertical="center" shrinkToFit="1"/>
    </xf>
    <xf numFmtId="0" fontId="60" fillId="0" borderId="0" xfId="0" applyFont="1" applyAlignment="1">
      <alignment horizontal="center" vertical="center" shrinkToFit="1"/>
    </xf>
    <xf numFmtId="0" fontId="61" fillId="0" borderId="0" xfId="0" applyFont="1">
      <alignment vertical="center"/>
    </xf>
    <xf numFmtId="0" fontId="50" fillId="0" borderId="0" xfId="0" applyFont="1" applyAlignment="1">
      <alignment horizontal="center" vertical="center" shrinkToFit="1"/>
    </xf>
    <xf numFmtId="0" fontId="37" fillId="0" borderId="0" xfId="0" applyFont="1" applyAlignment="1">
      <alignment horizontal="center" vertical="center" shrinkToFit="1"/>
    </xf>
    <xf numFmtId="177" fontId="16" fillId="0" borderId="0" xfId="0" applyNumberFormat="1" applyFont="1" applyAlignment="1">
      <alignment horizontal="center" vertical="top"/>
    </xf>
    <xf numFmtId="0" fontId="17" fillId="0" borderId="0" xfId="0" applyFont="1" applyAlignment="1">
      <alignment vertical="center" wrapText="1"/>
    </xf>
    <xf numFmtId="0" fontId="26" fillId="0" borderId="2" xfId="0" applyFont="1" applyBorder="1" applyAlignment="1">
      <alignment shrinkToFit="1"/>
    </xf>
    <xf numFmtId="0" fontId="16" fillId="0" borderId="0" xfId="0" applyFont="1" applyProtection="1">
      <alignment vertical="center"/>
      <protection locked="0"/>
    </xf>
    <xf numFmtId="0" fontId="19" fillId="0" borderId="1" xfId="0" applyFont="1" applyBorder="1" applyAlignment="1">
      <alignment horizontal="center" vertical="center"/>
    </xf>
    <xf numFmtId="0" fontId="7" fillId="11" borderId="0" xfId="0" applyFont="1" applyFill="1">
      <alignment vertical="center"/>
    </xf>
    <xf numFmtId="0" fontId="22" fillId="0" borderId="0" xfId="0" applyFont="1">
      <alignment vertical="center"/>
    </xf>
    <xf numFmtId="0" fontId="25" fillId="0" borderId="0" xfId="0" applyFont="1">
      <alignment vertical="center"/>
    </xf>
    <xf numFmtId="0" fontId="15" fillId="0" borderId="0" xfId="0" applyFont="1" applyAlignment="1">
      <alignment vertical="top"/>
    </xf>
    <xf numFmtId="0" fontId="25" fillId="0" borderId="0" xfId="0" applyFont="1" applyAlignment="1"/>
    <xf numFmtId="0" fontId="55" fillId="0" borderId="3" xfId="0" applyFont="1" applyBorder="1">
      <alignment vertical="center"/>
    </xf>
    <xf numFmtId="177" fontId="55" fillId="0" borderId="9" xfId="0" applyNumberFormat="1" applyFont="1" applyBorder="1" applyAlignment="1">
      <alignment vertical="center" shrinkToFit="1"/>
    </xf>
    <xf numFmtId="177" fontId="55" fillId="0" borderId="11" xfId="0" applyNumberFormat="1" applyFont="1" applyBorder="1" applyAlignment="1">
      <alignment vertical="center" shrinkToFit="1"/>
    </xf>
    <xf numFmtId="177" fontId="55" fillId="0" borderId="3" xfId="0" applyNumberFormat="1" applyFont="1" applyBorder="1">
      <alignment vertical="center"/>
    </xf>
    <xf numFmtId="38" fontId="55" fillId="0" borderId="3" xfId="0" applyNumberFormat="1" applyFont="1" applyBorder="1">
      <alignment vertical="center"/>
    </xf>
    <xf numFmtId="0" fontId="55" fillId="0" borderId="4" xfId="0" applyFont="1" applyBorder="1" applyAlignment="1">
      <alignment horizontal="center" vertical="center"/>
    </xf>
    <xf numFmtId="38" fontId="55" fillId="0" borderId="4" xfId="0" applyNumberFormat="1" applyFont="1" applyBorder="1" applyAlignment="1">
      <alignment horizontal="center" vertical="center"/>
    </xf>
    <xf numFmtId="177" fontId="55" fillId="0" borderId="5" xfId="0" applyNumberFormat="1" applyFont="1" applyBorder="1" applyAlignment="1">
      <alignment horizontal="center" vertical="center" shrinkToFit="1"/>
    </xf>
    <xf numFmtId="177" fontId="55" fillId="0" borderId="12" xfId="0" applyNumberFormat="1" applyFont="1" applyBorder="1" applyAlignment="1">
      <alignment horizontal="center" vertical="center" shrinkToFit="1"/>
    </xf>
    <xf numFmtId="177" fontId="55" fillId="0" borderId="4" xfId="0" applyNumberFormat="1" applyFont="1" applyBorder="1" applyAlignment="1">
      <alignment horizontal="center" vertical="center"/>
    </xf>
    <xf numFmtId="0" fontId="38" fillId="0" borderId="3" xfId="0" applyFont="1" applyBorder="1" applyAlignment="1">
      <alignment horizontal="left" vertical="center" wrapText="1"/>
    </xf>
    <xf numFmtId="0" fontId="38" fillId="0" borderId="4" xfId="0" applyFont="1" applyBorder="1" applyAlignment="1">
      <alignment horizontal="left" vertical="center" wrapText="1"/>
    </xf>
    <xf numFmtId="0" fontId="38" fillId="0" borderId="2" xfId="0" applyFont="1" applyBorder="1" applyAlignment="1">
      <alignment horizontal="left" vertical="center" wrapText="1"/>
    </xf>
    <xf numFmtId="0" fontId="27" fillId="7" borderId="9" xfId="0" applyFont="1" applyFill="1" applyBorder="1" applyAlignment="1">
      <alignment horizontal="center" vertical="center"/>
    </xf>
    <xf numFmtId="0" fontId="27" fillId="7" borderId="5" xfId="0" applyFont="1" applyFill="1" applyBorder="1" applyAlignment="1">
      <alignment horizontal="center" vertical="center"/>
    </xf>
    <xf numFmtId="0" fontId="27" fillId="7" borderId="10" xfId="0" applyFont="1" applyFill="1" applyBorder="1" applyAlignment="1">
      <alignment horizontal="center" vertical="center"/>
    </xf>
    <xf numFmtId="0" fontId="27" fillId="7" borderId="11" xfId="0" applyFont="1" applyFill="1" applyBorder="1" applyAlignment="1">
      <alignment horizontal="center" vertical="center"/>
    </xf>
    <xf numFmtId="0" fontId="27" fillId="7" borderId="12" xfId="0" applyFont="1" applyFill="1" applyBorder="1" applyAlignment="1">
      <alignment horizontal="center" vertical="center"/>
    </xf>
    <xf numFmtId="0" fontId="27" fillId="7" borderId="13" xfId="0" applyFont="1" applyFill="1" applyBorder="1" applyAlignment="1">
      <alignment horizontal="center" vertical="center"/>
    </xf>
    <xf numFmtId="177" fontId="62" fillId="0" borderId="9" xfId="0" applyNumberFormat="1" applyFont="1" applyBorder="1" applyAlignment="1">
      <alignment horizontal="left" vertical="center" wrapText="1"/>
    </xf>
    <xf numFmtId="177" fontId="62" fillId="0" borderId="5" xfId="0" applyNumberFormat="1" applyFont="1" applyBorder="1" applyAlignment="1">
      <alignment horizontal="left" vertical="center" wrapText="1"/>
    </xf>
    <xf numFmtId="177" fontId="62" fillId="0" borderId="10" xfId="0" applyNumberFormat="1" applyFont="1" applyBorder="1" applyAlignment="1">
      <alignment horizontal="left" vertical="center" wrapText="1"/>
    </xf>
    <xf numFmtId="177" fontId="62" fillId="0" borderId="11" xfId="0" applyNumberFormat="1" applyFont="1" applyBorder="1" applyAlignment="1">
      <alignment horizontal="left" vertical="center" wrapText="1"/>
    </xf>
    <xf numFmtId="177" fontId="62" fillId="0" borderId="12" xfId="0" applyNumberFormat="1" applyFont="1" applyBorder="1" applyAlignment="1">
      <alignment horizontal="left" vertical="center" wrapText="1"/>
    </xf>
    <xf numFmtId="177" fontId="62" fillId="0" borderId="13" xfId="0" applyNumberFormat="1" applyFont="1" applyBorder="1" applyAlignment="1">
      <alignment horizontal="left" vertical="center" wrapText="1"/>
    </xf>
    <xf numFmtId="0" fontId="26" fillId="0" borderId="10" xfId="0" applyFont="1" applyBorder="1" applyAlignment="1">
      <alignment shrinkToFit="1"/>
    </xf>
    <xf numFmtId="0" fontId="26" fillId="0" borderId="13" xfId="0" applyFont="1" applyBorder="1" applyAlignment="1">
      <alignment shrinkToFit="1"/>
    </xf>
    <xf numFmtId="0" fontId="38" fillId="0" borderId="9" xfId="0" applyFont="1" applyBorder="1" applyAlignment="1">
      <alignment horizontal="left" vertical="center" wrapText="1"/>
    </xf>
    <xf numFmtId="0" fontId="38" fillId="0" borderId="5" xfId="0" applyFont="1" applyBorder="1" applyAlignment="1">
      <alignment horizontal="left" vertical="center" wrapText="1"/>
    </xf>
    <xf numFmtId="0" fontId="38" fillId="0" borderId="10" xfId="0" applyFont="1" applyBorder="1" applyAlignment="1">
      <alignment horizontal="left" vertical="center" wrapText="1"/>
    </xf>
    <xf numFmtId="0" fontId="38" fillId="0" borderId="11" xfId="0" applyFont="1" applyBorder="1" applyAlignment="1">
      <alignment horizontal="left" vertical="center" wrapText="1"/>
    </xf>
    <xf numFmtId="0" fontId="38" fillId="0" borderId="12" xfId="0" applyFont="1" applyBorder="1" applyAlignment="1">
      <alignment horizontal="left" vertical="center" wrapText="1"/>
    </xf>
    <xf numFmtId="0" fontId="38" fillId="0" borderId="13" xfId="0" applyFont="1" applyBorder="1" applyAlignment="1">
      <alignment horizontal="left" vertical="center" wrapText="1"/>
    </xf>
    <xf numFmtId="0" fontId="27" fillId="7" borderId="3" xfId="0" applyFont="1" applyFill="1" applyBorder="1" applyAlignment="1">
      <alignment horizontal="center" vertical="center"/>
    </xf>
    <xf numFmtId="0" fontId="27" fillId="7" borderId="4" xfId="0" applyFont="1" applyFill="1" applyBorder="1" applyAlignment="1">
      <alignment horizontal="center" vertical="center"/>
    </xf>
    <xf numFmtId="0" fontId="27" fillId="7" borderId="2" xfId="0" applyFont="1" applyFill="1" applyBorder="1" applyAlignment="1">
      <alignment horizontal="center" vertical="center"/>
    </xf>
    <xf numFmtId="0" fontId="38" fillId="0" borderId="3" xfId="0" applyFont="1" applyBorder="1" applyAlignment="1">
      <alignment horizontal="left" vertical="center"/>
    </xf>
    <xf numFmtId="0" fontId="38" fillId="0" borderId="4" xfId="0" applyFont="1" applyBorder="1" applyAlignment="1">
      <alignment horizontal="left" vertical="center"/>
    </xf>
    <xf numFmtId="0" fontId="38" fillId="0" borderId="2" xfId="0" applyFont="1" applyBorder="1" applyAlignment="1">
      <alignment horizontal="left" vertical="center"/>
    </xf>
    <xf numFmtId="0" fontId="27" fillId="7" borderId="3" xfId="0" applyFont="1" applyFill="1" applyBorder="1" applyAlignment="1">
      <alignment horizontal="center" vertical="center" wrapText="1"/>
    </xf>
    <xf numFmtId="0" fontId="27" fillId="8" borderId="9" xfId="0" applyFont="1" applyFill="1" applyBorder="1" applyAlignment="1">
      <alignment horizontal="center" vertical="center"/>
    </xf>
    <xf numFmtId="0" fontId="27" fillId="8" borderId="5" xfId="0" applyFont="1" applyFill="1" applyBorder="1" applyAlignment="1">
      <alignment horizontal="center" vertical="center"/>
    </xf>
    <xf numFmtId="0" fontId="27" fillId="8" borderId="10" xfId="0" applyFont="1" applyFill="1" applyBorder="1" applyAlignment="1">
      <alignment horizontal="center" vertical="center"/>
    </xf>
    <xf numFmtId="0" fontId="27" fillId="8" borderId="11" xfId="0" applyFont="1" applyFill="1" applyBorder="1" applyAlignment="1">
      <alignment horizontal="center" vertical="center"/>
    </xf>
    <xf numFmtId="0" fontId="27" fillId="8" borderId="12" xfId="0" applyFont="1" applyFill="1" applyBorder="1" applyAlignment="1">
      <alignment horizontal="center" vertical="center"/>
    </xf>
    <xf numFmtId="0" fontId="27" fillId="8" borderId="13" xfId="0" applyFont="1" applyFill="1" applyBorder="1" applyAlignment="1">
      <alignment horizontal="center" vertical="center"/>
    </xf>
    <xf numFmtId="0" fontId="42" fillId="0" borderId="11" xfId="0" applyFont="1" applyBorder="1" applyAlignment="1">
      <alignment horizontal="left" vertical="center" wrapText="1"/>
    </xf>
    <xf numFmtId="0" fontId="27" fillId="8" borderId="3" xfId="0" applyFont="1" applyFill="1" applyBorder="1" applyAlignment="1">
      <alignment horizontal="center" vertical="center"/>
    </xf>
    <xf numFmtId="0" fontId="27" fillId="8" borderId="4" xfId="0" applyFont="1" applyFill="1" applyBorder="1" applyAlignment="1">
      <alignment horizontal="center" vertical="center"/>
    </xf>
    <xf numFmtId="0" fontId="27" fillId="8" borderId="2" xfId="0" applyFont="1" applyFill="1" applyBorder="1" applyAlignment="1">
      <alignment horizontal="center" vertical="center"/>
    </xf>
    <xf numFmtId="0" fontId="27" fillId="8" borderId="3" xfId="0" applyFont="1" applyFill="1" applyBorder="1" applyAlignment="1">
      <alignment horizontal="center" vertical="center" wrapText="1"/>
    </xf>
    <xf numFmtId="58" fontId="43" fillId="0" borderId="14" xfId="0" applyNumberFormat="1" applyFont="1" applyBorder="1" applyAlignment="1">
      <alignment horizontal="right" vertical="center"/>
    </xf>
    <xf numFmtId="58" fontId="43" fillId="0" borderId="0" xfId="0" applyNumberFormat="1" applyFont="1" applyAlignment="1">
      <alignment horizontal="right" vertical="center"/>
    </xf>
    <xf numFmtId="2" fontId="55" fillId="0" borderId="5" xfId="0" applyNumberFormat="1" applyFont="1" applyBorder="1" applyAlignment="1">
      <alignment horizontal="center" vertical="center" shrinkToFit="1"/>
    </xf>
    <xf numFmtId="2" fontId="29" fillId="0" borderId="5" xfId="0" applyNumberFormat="1" applyFont="1" applyBorder="1" applyAlignment="1">
      <alignment horizontal="center" vertical="center" shrinkToFit="1"/>
    </xf>
    <xf numFmtId="2" fontId="29" fillId="0" borderId="12" xfId="0" applyNumberFormat="1" applyFont="1" applyBorder="1" applyAlignment="1">
      <alignment horizontal="center" vertical="center" shrinkToFit="1"/>
    </xf>
    <xf numFmtId="0" fontId="50" fillId="0" borderId="1" xfId="0" applyFont="1" applyBorder="1" applyAlignment="1">
      <alignment horizontal="center" vertical="center"/>
    </xf>
    <xf numFmtId="0" fontId="51" fillId="0" borderId="1" xfId="0" applyFont="1" applyBorder="1" applyAlignment="1">
      <alignment horizontal="center" vertical="center"/>
    </xf>
    <xf numFmtId="0" fontId="52" fillId="0" borderId="1" xfId="0" applyFont="1" applyBorder="1" applyAlignment="1">
      <alignment horizontal="center" vertical="center"/>
    </xf>
    <xf numFmtId="0" fontId="53" fillId="0" borderId="1" xfId="0" applyFont="1" applyBorder="1" applyAlignment="1">
      <alignment horizontal="center" vertical="center"/>
    </xf>
    <xf numFmtId="181" fontId="54" fillId="0" borderId="9" xfId="0" applyNumberFormat="1" applyFont="1" applyBorder="1" applyAlignment="1">
      <alignment horizontal="center" vertical="center" wrapText="1"/>
    </xf>
    <xf numFmtId="181" fontId="54" fillId="0" borderId="11" xfId="0" applyNumberFormat="1" applyFont="1" applyBorder="1" applyAlignment="1">
      <alignment horizontal="center" vertical="center" wrapText="1"/>
    </xf>
    <xf numFmtId="2" fontId="56" fillId="0" borderId="5" xfId="0" applyNumberFormat="1" applyFont="1" applyBorder="1" applyAlignment="1">
      <alignment horizontal="center" vertical="center" shrinkToFit="1"/>
    </xf>
    <xf numFmtId="2" fontId="56" fillId="0" borderId="12" xfId="0" applyNumberFormat="1" applyFont="1" applyBorder="1" applyAlignment="1">
      <alignment horizontal="center" vertical="center" shrinkToFit="1"/>
    </xf>
    <xf numFmtId="177" fontId="31" fillId="0" borderId="7" xfId="0" applyNumberFormat="1" applyFont="1" applyBorder="1" applyAlignment="1">
      <alignment horizontal="left"/>
    </xf>
    <xf numFmtId="0" fontId="25" fillId="0" borderId="18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35" fillId="0" borderId="7" xfId="0" applyFont="1" applyBorder="1" applyAlignment="1">
      <alignment horizontal="center" vertical="center"/>
    </xf>
    <xf numFmtId="177" fontId="57" fillId="0" borderId="6" xfId="0" applyNumberFormat="1" applyFont="1" applyBorder="1" applyAlignment="1">
      <alignment horizontal="right" vertical="center" shrinkToFit="1"/>
    </xf>
    <xf numFmtId="177" fontId="57" fillId="0" borderId="7" xfId="0" applyNumberFormat="1" applyFont="1" applyBorder="1" applyAlignment="1">
      <alignment horizontal="right" vertical="center" shrinkToFit="1"/>
    </xf>
    <xf numFmtId="0" fontId="36" fillId="5" borderId="0" xfId="0" applyFont="1" applyFill="1" applyAlignment="1">
      <alignment horizontal="center" vertical="center" shrinkToFit="1"/>
    </xf>
    <xf numFmtId="0" fontId="41" fillId="5" borderId="0" xfId="0" applyFont="1" applyFill="1" applyAlignment="1">
      <alignment horizontal="center" vertical="center" shrinkToFit="1"/>
    </xf>
    <xf numFmtId="0" fontId="25" fillId="9" borderId="9" xfId="0" applyFont="1" applyFill="1" applyBorder="1" applyAlignment="1">
      <alignment horizontal="center" vertical="center" wrapText="1" shrinkToFit="1"/>
    </xf>
    <xf numFmtId="0" fontId="25" fillId="9" borderId="5" xfId="0" applyFont="1" applyFill="1" applyBorder="1" applyAlignment="1">
      <alignment horizontal="center" vertical="center" wrapText="1" shrinkToFit="1"/>
    </xf>
    <xf numFmtId="0" fontId="25" fillId="9" borderId="10" xfId="0" applyFont="1" applyFill="1" applyBorder="1" applyAlignment="1">
      <alignment horizontal="center" vertical="center" wrapText="1" shrinkToFit="1"/>
    </xf>
    <xf numFmtId="0" fontId="25" fillId="9" borderId="11" xfId="0" applyFont="1" applyFill="1" applyBorder="1" applyAlignment="1">
      <alignment horizontal="center" vertical="center" wrapText="1" shrinkToFit="1"/>
    </xf>
    <xf numFmtId="0" fontId="25" fillId="9" borderId="12" xfId="0" applyFont="1" applyFill="1" applyBorder="1" applyAlignment="1">
      <alignment horizontal="center" vertical="center" wrapText="1" shrinkToFit="1"/>
    </xf>
    <xf numFmtId="0" fontId="25" fillId="9" borderId="13" xfId="0" applyFont="1" applyFill="1" applyBorder="1" applyAlignment="1">
      <alignment horizontal="center" vertical="center" wrapText="1" shrinkToFit="1"/>
    </xf>
    <xf numFmtId="0" fontId="30" fillId="0" borderId="13" xfId="0" applyFont="1" applyBorder="1" applyAlignment="1">
      <alignment shrinkToFit="1"/>
    </xf>
    <xf numFmtId="178" fontId="59" fillId="0" borderId="1" xfId="0" applyNumberFormat="1" applyFont="1" applyBorder="1" applyAlignment="1" applyProtection="1">
      <alignment horizontal="center" vertical="center" shrinkToFit="1"/>
      <protection locked="0"/>
    </xf>
    <xf numFmtId="0" fontId="25" fillId="12" borderId="9" xfId="0" applyFont="1" applyFill="1" applyBorder="1" applyAlignment="1">
      <alignment horizontal="center" vertical="center" wrapText="1" shrinkToFit="1"/>
    </xf>
    <xf numFmtId="0" fontId="25" fillId="12" borderId="5" xfId="0" applyFont="1" applyFill="1" applyBorder="1" applyAlignment="1">
      <alignment horizontal="center" vertical="center" wrapText="1" shrinkToFit="1"/>
    </xf>
    <xf numFmtId="0" fontId="25" fillId="12" borderId="10" xfId="0" applyFont="1" applyFill="1" applyBorder="1" applyAlignment="1">
      <alignment horizontal="center" vertical="center" wrapText="1" shrinkToFit="1"/>
    </xf>
    <xf numFmtId="0" fontId="25" fillId="12" borderId="11" xfId="0" applyFont="1" applyFill="1" applyBorder="1" applyAlignment="1">
      <alignment horizontal="center" vertical="center" wrapText="1" shrinkToFit="1"/>
    </xf>
    <xf numFmtId="0" fontId="25" fillId="12" borderId="12" xfId="0" applyFont="1" applyFill="1" applyBorder="1" applyAlignment="1">
      <alignment horizontal="center" vertical="center" wrapText="1" shrinkToFit="1"/>
    </xf>
    <xf numFmtId="0" fontId="25" fillId="12" borderId="13" xfId="0" applyFont="1" applyFill="1" applyBorder="1" applyAlignment="1">
      <alignment horizontal="center" vertical="center" wrapText="1" shrinkToFit="1"/>
    </xf>
    <xf numFmtId="0" fontId="15" fillId="9" borderId="3" xfId="0" applyFont="1" applyFill="1" applyBorder="1" applyAlignment="1">
      <alignment horizontal="center" shrinkToFit="1"/>
    </xf>
    <xf numFmtId="0" fontId="15" fillId="9" borderId="4" xfId="0" applyFont="1" applyFill="1" applyBorder="1" applyAlignment="1">
      <alignment horizontal="center" shrinkToFit="1"/>
    </xf>
    <xf numFmtId="0" fontId="15" fillId="9" borderId="2" xfId="0" applyFont="1" applyFill="1" applyBorder="1" applyAlignment="1">
      <alignment horizontal="center" shrinkToFit="1"/>
    </xf>
    <xf numFmtId="0" fontId="15" fillId="10" borderId="3" xfId="0" applyFont="1" applyFill="1" applyBorder="1" applyAlignment="1">
      <alignment horizontal="center" vertical="center" shrinkToFit="1"/>
    </xf>
    <xf numFmtId="0" fontId="15" fillId="10" borderId="4" xfId="0" applyFont="1" applyFill="1" applyBorder="1" applyAlignment="1">
      <alignment horizontal="center" vertical="center" shrinkToFit="1"/>
    </xf>
    <xf numFmtId="0" fontId="15" fillId="10" borderId="2" xfId="0" applyFont="1" applyFill="1" applyBorder="1" applyAlignment="1">
      <alignment horizontal="center" vertical="center" shrinkToFit="1"/>
    </xf>
    <xf numFmtId="0" fontId="59" fillId="0" borderId="3" xfId="0" applyFont="1" applyBorder="1" applyAlignment="1" applyProtection="1">
      <alignment horizontal="center" vertical="center" shrinkToFit="1"/>
      <protection locked="0"/>
    </xf>
    <xf numFmtId="0" fontId="59" fillId="0" borderId="4" xfId="0" applyFont="1" applyBorder="1" applyAlignment="1" applyProtection="1">
      <alignment horizontal="center" vertical="center" shrinkToFit="1"/>
      <protection locked="0"/>
    </xf>
    <xf numFmtId="0" fontId="15" fillId="10" borderId="3" xfId="0" applyFont="1" applyFill="1" applyBorder="1" applyAlignment="1">
      <alignment horizontal="center" shrinkToFit="1"/>
    </xf>
    <xf numFmtId="0" fontId="15" fillId="10" borderId="4" xfId="0" applyFont="1" applyFill="1" applyBorder="1" applyAlignment="1">
      <alignment horizontal="center" shrinkToFit="1"/>
    </xf>
    <xf numFmtId="0" fontId="15" fillId="10" borderId="2" xfId="0" applyFont="1" applyFill="1" applyBorder="1" applyAlignment="1">
      <alignment horizontal="center" shrinkToFit="1"/>
    </xf>
    <xf numFmtId="38" fontId="58" fillId="0" borderId="3" xfId="1" applyFont="1" applyBorder="1" applyAlignment="1" applyProtection="1">
      <alignment horizontal="center" vertical="center" shrinkToFit="1"/>
      <protection locked="0"/>
    </xf>
    <xf numFmtId="38" fontId="58" fillId="0" borderId="4" xfId="1" applyFont="1" applyBorder="1" applyAlignment="1" applyProtection="1">
      <alignment horizontal="center" vertical="center" shrinkToFit="1"/>
      <protection locked="0"/>
    </xf>
    <xf numFmtId="0" fontId="15" fillId="10" borderId="3" xfId="0" applyFont="1" applyFill="1" applyBorder="1" applyAlignment="1">
      <alignment horizontal="center" vertical="center"/>
    </xf>
    <xf numFmtId="0" fontId="15" fillId="10" borderId="4" xfId="0" applyFont="1" applyFill="1" applyBorder="1" applyAlignment="1">
      <alignment horizontal="center" vertical="center"/>
    </xf>
    <xf numFmtId="0" fontId="15" fillId="10" borderId="2" xfId="0" applyFont="1" applyFill="1" applyBorder="1" applyAlignment="1">
      <alignment horizontal="center" vertical="center"/>
    </xf>
    <xf numFmtId="0" fontId="15" fillId="9" borderId="3" xfId="0" applyFont="1" applyFill="1" applyBorder="1" applyAlignment="1">
      <alignment horizontal="center" vertical="center"/>
    </xf>
    <xf numFmtId="0" fontId="15" fillId="9" borderId="4" xfId="0" applyFont="1" applyFill="1" applyBorder="1" applyAlignment="1">
      <alignment horizontal="center" vertical="center"/>
    </xf>
    <xf numFmtId="0" fontId="15" fillId="9" borderId="2" xfId="0" applyFont="1" applyFill="1" applyBorder="1" applyAlignment="1">
      <alignment horizontal="center" vertical="center"/>
    </xf>
    <xf numFmtId="38" fontId="58" fillId="0" borderId="3" xfId="1" applyFont="1" applyFill="1" applyBorder="1" applyAlignment="1" applyProtection="1">
      <alignment horizontal="center" vertical="center" shrinkToFit="1"/>
      <protection locked="0"/>
    </xf>
    <xf numFmtId="38" fontId="58" fillId="0" borderId="4" xfId="1" applyFont="1" applyFill="1" applyBorder="1" applyAlignment="1" applyProtection="1">
      <alignment horizontal="center" vertical="center" shrinkToFit="1"/>
      <protection locked="0"/>
    </xf>
    <xf numFmtId="0" fontId="15" fillId="12" borderId="3" xfId="0" applyFont="1" applyFill="1" applyBorder="1" applyAlignment="1">
      <alignment horizontal="center" vertical="center"/>
    </xf>
    <xf numFmtId="0" fontId="15" fillId="12" borderId="4" xfId="0" applyFont="1" applyFill="1" applyBorder="1" applyAlignment="1">
      <alignment horizontal="center" vertical="center"/>
    </xf>
    <xf numFmtId="0" fontId="15" fillId="12" borderId="2" xfId="0" applyFont="1" applyFill="1" applyBorder="1" applyAlignment="1">
      <alignment horizontal="center" vertical="center"/>
    </xf>
    <xf numFmtId="0" fontId="31" fillId="12" borderId="3" xfId="0" applyFont="1" applyFill="1" applyBorder="1" applyAlignment="1">
      <alignment horizontal="center" shrinkToFit="1"/>
    </xf>
    <xf numFmtId="0" fontId="31" fillId="12" borderId="4" xfId="0" applyFont="1" applyFill="1" applyBorder="1" applyAlignment="1">
      <alignment horizontal="center" shrinkToFit="1"/>
    </xf>
    <xf numFmtId="0" fontId="31" fillId="12" borderId="2" xfId="0" applyFont="1" applyFill="1" applyBorder="1" applyAlignment="1">
      <alignment horizontal="center" shrinkToFit="1"/>
    </xf>
    <xf numFmtId="0" fontId="10" fillId="2" borderId="1" xfId="0" applyFont="1" applyFill="1" applyBorder="1" applyAlignment="1">
      <alignment horizontal="center" vertical="center" textRotation="255"/>
    </xf>
    <xf numFmtId="0" fontId="19" fillId="2" borderId="2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/>
    </xf>
    <xf numFmtId="0" fontId="10" fillId="2" borderId="15" xfId="0" applyFont="1" applyFill="1" applyBorder="1" applyAlignment="1">
      <alignment horizontal="center" vertical="center" textRotation="255"/>
    </xf>
    <xf numFmtId="38" fontId="10" fillId="2" borderId="1" xfId="1" applyFont="1" applyFill="1" applyBorder="1" applyAlignment="1">
      <alignment horizontal="center" vertical="center"/>
    </xf>
    <xf numFmtId="180" fontId="11" fillId="0" borderId="15" xfId="2" applyNumberFormat="1" applyFont="1" applyBorder="1" applyAlignment="1">
      <alignment horizontal="center" vertical="center" shrinkToFit="1"/>
    </xf>
    <xf numFmtId="180" fontId="11" fillId="0" borderId="16" xfId="2" applyNumberFormat="1" applyFont="1" applyBorder="1" applyAlignment="1">
      <alignment horizontal="center" vertical="center" shrinkToFit="1"/>
    </xf>
    <xf numFmtId="180" fontId="11" fillId="0" borderId="17" xfId="2" applyNumberFormat="1" applyFont="1" applyBorder="1" applyAlignment="1">
      <alignment horizontal="center" vertical="center" shrinkToFit="1"/>
    </xf>
  </cellXfs>
  <cellStyles count="4">
    <cellStyle name="パーセント" xfId="2" builtinId="5"/>
    <cellStyle name="桁区切り" xfId="1" builtinId="6"/>
    <cellStyle name="標準" xfId="0" builtinId="0"/>
    <cellStyle name="標準 2" xfId="3" xr:uid="{00000000-0005-0000-0000-000003000000}"/>
  </cellStyles>
  <dxfs count="13">
    <dxf>
      <font>
        <color theme="0"/>
      </font>
      <fill>
        <patternFill>
          <bgColor theme="0"/>
        </patternFill>
      </fill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</dxf>
    <dxf>
      <font>
        <color theme="0"/>
      </font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theme="1"/>
      </font>
      <fill>
        <patternFill patternType="solid">
          <bgColor theme="0"/>
        </patternFill>
      </fill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1F497D"/>
      <color rgb="FF006699"/>
      <color rgb="FF003366"/>
      <color rgb="FF336699"/>
      <color rgb="FFF5C666"/>
      <color rgb="FFFFFFCC"/>
      <color rgb="FFF0C366"/>
      <color rgb="FF66DC5A"/>
      <color rgb="FF92CDF0"/>
      <color rgb="FFFAC8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$C$50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244927</xdr:colOff>
      <xdr:row>48</xdr:row>
      <xdr:rowOff>27215</xdr:rowOff>
    </xdr:from>
    <xdr:to>
      <xdr:col>48</xdr:col>
      <xdr:colOff>176893</xdr:colOff>
      <xdr:row>49</xdr:row>
      <xdr:rowOff>108857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D65AE64C-A3E7-D401-B28F-62F48C4096D2}"/>
            </a:ext>
          </a:extLst>
        </xdr:cNvPr>
        <xdr:cNvSpPr/>
      </xdr:nvSpPr>
      <xdr:spPr bwMode="auto">
        <a:xfrm>
          <a:off x="9361713" y="13090072"/>
          <a:ext cx="2626180" cy="435428"/>
        </a:xfrm>
        <a:prstGeom prst="rect">
          <a:avLst/>
        </a:prstGeom>
        <a:noFill/>
        <a:ln w="9525">
          <a:noFill/>
          <a:round/>
          <a:headEnd/>
          <a:tailEnd/>
        </a:ln>
      </xdr:spPr>
      <xdr:txBody>
        <a:bodyPr rtlCol="0" anchor="ctr"/>
        <a:lstStyle/>
        <a:p>
          <a:pPr algn="l"/>
          <a:r>
            <a:rPr kumimoji="1" lang="ja-JP" altLang="en-US" sz="1800" b="1">
              <a:solidFill>
                <a:srgbClr val="00206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保険料の内訳を表示する</a:t>
          </a:r>
        </a:p>
      </xdr:txBody>
    </xdr:sp>
    <xdr:clientData/>
  </xdr:twoCellAnchor>
  <xdr:twoCellAnchor editAs="absolute">
    <xdr:from>
      <xdr:col>0</xdr:col>
      <xdr:colOff>0</xdr:colOff>
      <xdr:row>0</xdr:row>
      <xdr:rowOff>8769</xdr:rowOff>
    </xdr:from>
    <xdr:to>
      <xdr:col>57</xdr:col>
      <xdr:colOff>221122</xdr:colOff>
      <xdr:row>4</xdr:row>
      <xdr:rowOff>81643</xdr:rowOff>
    </xdr:to>
    <xdr:sp macro="" textlink="">
      <xdr:nvSpPr>
        <xdr:cNvPr id="6" name="正方形/長方形 7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 bwMode="auto">
        <a:xfrm>
          <a:off x="0" y="8769"/>
          <a:ext cx="14236479" cy="657981"/>
        </a:xfrm>
        <a:prstGeom prst="rect">
          <a:avLst/>
        </a:prstGeom>
        <a:solidFill>
          <a:srgbClr val="008000"/>
        </a:solidFill>
        <a:ln w="9525">
          <a:noFill/>
          <a:round/>
          <a:headEnd/>
          <a:tailEnd/>
        </a:ln>
      </xdr:spPr>
      <xdr:txBody>
        <a:bodyPr vertOverflow="clip" horzOverflow="clip" rtlCol="0" anchor="ctr"/>
        <a:lstStyle/>
        <a:p>
          <a:pPr algn="ctr"/>
          <a:r>
            <a:rPr kumimoji="0" lang="ja-JP" altLang="ja-JP" sz="32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令和</a:t>
          </a: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８</a:t>
          </a:r>
          <a:r>
            <a:rPr kumimoji="0" lang="ja-JP" altLang="ja-JP" sz="32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年度</a:t>
          </a: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 </a:t>
          </a:r>
          <a:r>
            <a:rPr lang="ja-JP" altLang="en-US" sz="3200" b="1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埼玉県後期高齢者医療</a:t>
          </a:r>
          <a:r>
            <a:rPr lang="ja-JP" altLang="ja-JP" sz="3200" b="1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保険料</a:t>
          </a:r>
          <a:r>
            <a:rPr lang="ja-JP" altLang="en-US" sz="3200" b="1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の</a:t>
          </a:r>
          <a:r>
            <a:rPr lang="ja-JP" altLang="ja-JP" sz="3200" b="1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試算シート</a:t>
          </a:r>
          <a:endParaRPr kumimoji="1" lang="ja-JP" altLang="en-US" sz="3200" b="1">
            <a:solidFill>
              <a:schemeClr val="bg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>
    <xdr:from>
      <xdr:col>8</xdr:col>
      <xdr:colOff>0</xdr:colOff>
      <xdr:row>46</xdr:row>
      <xdr:rowOff>0</xdr:rowOff>
    </xdr:from>
    <xdr:to>
      <xdr:col>29</xdr:col>
      <xdr:colOff>0</xdr:colOff>
      <xdr:row>46</xdr:row>
      <xdr:rowOff>12701</xdr:rowOff>
    </xdr:to>
    <xdr:sp macro="[0]!保険料試算_Click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 bwMode="auto">
        <a:xfrm>
          <a:off x="1891393" y="9661072"/>
          <a:ext cx="5265964" cy="448129"/>
        </a:xfrm>
        <a:prstGeom prst="rect">
          <a:avLst/>
        </a:prstGeom>
        <a:solidFill>
          <a:schemeClr val="bg1">
            <a:alpha val="4000"/>
          </a:schemeClr>
        </a:solidFill>
        <a:ln w="9525">
          <a:noFill/>
          <a:round/>
          <a:headEnd/>
          <a:tailEnd/>
        </a:ln>
      </xdr:spPr>
      <xdr:txBody>
        <a:bodyPr vertOverflow="clip" horzOverflow="clip" rtlCol="0" anchor="t"/>
        <a:lstStyle/>
        <a:p>
          <a:pPr algn="l"/>
          <a:endParaRPr kumimoji="1" lang="ja-JP" altLang="en-US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>
    <xdr:from>
      <xdr:col>31</xdr:col>
      <xdr:colOff>3</xdr:colOff>
      <xdr:row>46</xdr:row>
      <xdr:rowOff>0</xdr:rowOff>
    </xdr:from>
    <xdr:to>
      <xdr:col>56</xdr:col>
      <xdr:colOff>12703</xdr:colOff>
      <xdr:row>46</xdr:row>
      <xdr:rowOff>11794</xdr:rowOff>
    </xdr:to>
    <xdr:sp macro="[0]!入力情報のクリア_Click" textlink="">
      <xdr:nvSpPr>
        <xdr:cNvPr id="14" name="正方形/長方形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 bwMode="auto">
        <a:xfrm>
          <a:off x="7647217" y="9672865"/>
          <a:ext cx="6135915" cy="435429"/>
        </a:xfrm>
        <a:prstGeom prst="rect">
          <a:avLst/>
        </a:prstGeom>
        <a:solidFill>
          <a:schemeClr val="bg1">
            <a:alpha val="4000"/>
          </a:schemeClr>
        </a:solidFill>
        <a:ln w="9525">
          <a:noFill/>
          <a:round/>
          <a:headEnd/>
          <a:tailEnd/>
        </a:ln>
      </xdr:spPr>
      <xdr:txBody>
        <a:bodyPr vertOverflow="clip" horzOverflow="clip" rtlCol="0" anchor="t"/>
        <a:lstStyle/>
        <a:p>
          <a:pPr algn="l"/>
          <a:endParaRPr kumimoji="1" lang="ja-JP" altLang="en-US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absolute">
    <xdr:from>
      <xdr:col>4</xdr:col>
      <xdr:colOff>106503</xdr:colOff>
      <xdr:row>17</xdr:row>
      <xdr:rowOff>92033</xdr:rowOff>
    </xdr:from>
    <xdr:to>
      <xdr:col>53</xdr:col>
      <xdr:colOff>69271</xdr:colOff>
      <xdr:row>25</xdr:row>
      <xdr:rowOff>185552</xdr:rowOff>
    </xdr:to>
    <xdr:sp macro="" textlink="">
      <xdr:nvSpPr>
        <xdr:cNvPr id="17" name="Text Box 3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>
          <a:spLocks noChangeArrowheads="1"/>
        </xdr:cNvSpPr>
      </xdr:nvSpPr>
      <xdr:spPr bwMode="auto">
        <a:xfrm>
          <a:off x="868503" y="3659578"/>
          <a:ext cx="12206723" cy="2587338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0" tIns="22860" rIns="0" bIns="0" anchor="t" upright="1"/>
        <a:lstStyle/>
        <a:p>
          <a:pPr algn="l" rtl="0">
            <a:defRPr sz="1000"/>
          </a:pPr>
          <a:r>
            <a:rPr lang="ja-JP" altLang="en-US" sz="1600" b="1" i="0" u="none" strike="noStrike" baseline="0">
              <a:solidFill>
                <a:srgbClr val="FF0000"/>
              </a:solidFill>
              <a:latin typeface="+mj-ea"/>
              <a:ea typeface="+mj-ea"/>
            </a:rPr>
            <a:t>　</a:t>
          </a:r>
          <a:r>
            <a:rPr lang="en-US" altLang="ja-JP" sz="1600" b="1" i="0" u="none" strike="noStrike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【</a:t>
          </a:r>
          <a:r>
            <a:rPr lang="ja-JP" altLang="ja-JP" sz="1600" b="1" u="none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収入</a:t>
          </a:r>
          <a:r>
            <a:rPr lang="en-US" altLang="ja-JP" sz="1600" b="1" u="none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(</a:t>
          </a:r>
          <a:r>
            <a:rPr lang="ja-JP" altLang="en-US" sz="1600" b="1" u="none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所得</a:t>
          </a:r>
          <a:r>
            <a:rPr lang="en-US" altLang="ja-JP" sz="1600" b="1" u="none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)</a:t>
          </a:r>
          <a:r>
            <a:rPr lang="ja-JP" altLang="ja-JP" sz="1600" b="1" u="none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等の入力の際</a:t>
          </a:r>
          <a:r>
            <a:rPr lang="ja-JP" altLang="en-US" sz="1600" b="1" u="none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の</a:t>
          </a:r>
          <a:r>
            <a:rPr lang="ja-JP" altLang="en-US" sz="1600" b="1" u="none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注意事項</a:t>
          </a:r>
          <a:r>
            <a:rPr lang="en-US" altLang="ja-JP" sz="1600" b="1" u="none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】</a:t>
          </a:r>
          <a:endParaRPr lang="ja-JP" altLang="en-US" sz="1600" b="1" i="0" u="none" strike="noStrike" baseline="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 rtl="0">
            <a:defRPr sz="1000"/>
          </a:pPr>
          <a:r>
            <a:rPr lang="ja-JP" altLang="en-US" sz="1600" b="0" i="0" u="none" strike="noStrike" baseline="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   </a:t>
          </a:r>
          <a:r>
            <a:rPr lang="ja-JP" altLang="en-US" sz="1600" b="0" i="0" u="none" strike="noStrike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⑴ </a:t>
          </a:r>
          <a:r>
            <a:rPr kumimoji="0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令和</a:t>
          </a:r>
          <a:r>
            <a:rPr kumimoji="0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7</a:t>
          </a:r>
          <a:r>
            <a:rPr kumimoji="0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年中（令和</a:t>
          </a:r>
          <a:r>
            <a:rPr kumimoji="0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7</a:t>
          </a:r>
          <a:r>
            <a:rPr kumimoji="0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年１月～１２月）の収入・所得情報を入力してください。</a:t>
          </a:r>
          <a:endParaRPr lang="en-US" altLang="ja-JP" sz="1600" b="0" i="0" u="none" strike="noStrike" baseline="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 rtl="0">
            <a:defRPr sz="1000"/>
          </a:pPr>
          <a:r>
            <a:rPr lang="en-US" altLang="ja-JP" sz="1600" b="0" i="0" u="none" strike="noStrike" baseline="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   </a:t>
          </a:r>
          <a:r>
            <a:rPr lang="ja-JP" altLang="en-US" sz="1600" b="0" i="0" u="none" strike="noStrike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⑵ 遺族年金や障害年金等の非課税年金は入力しないでください。</a:t>
          </a:r>
          <a:endParaRPr lang="en-US" altLang="ja-JP" sz="1600" b="0" i="0" u="none" strike="noStrike" baseline="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rtl="0"/>
          <a:r>
            <a:rPr lang="en-US" altLang="ja-JP" sz="1600" b="1" i="0" baseline="0"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 </a:t>
          </a:r>
          <a:r>
            <a:rPr lang="ja-JP" altLang="en-US" sz="1600" b="1" i="0" baseline="0"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　　</a:t>
          </a:r>
          <a:r>
            <a:rPr lang="ja-JP" altLang="ja-JP" sz="1600" b="1" i="0" baseline="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企業年金（確定給付企業年金、確定拠出年金等）</a:t>
          </a:r>
          <a:r>
            <a:rPr lang="ja-JP" altLang="ja-JP" sz="1600" b="0" i="0" baseline="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は</a:t>
          </a:r>
          <a:r>
            <a:rPr lang="ja-JP" altLang="ja-JP" sz="1600" b="1" i="0" baseline="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「年金収入（年額）」</a:t>
          </a:r>
          <a:r>
            <a:rPr lang="ja-JP" altLang="ja-JP" sz="1600" b="0" i="0" baseline="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に含まれます。</a:t>
          </a:r>
          <a:endParaRPr lang="ja-JP" altLang="ja-JP" sz="1600" b="0">
            <a:solidFill>
              <a:sysClr val="windowText" lastClr="00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rtl="0"/>
          <a:r>
            <a:rPr lang="ja-JP" altLang="en-US" sz="1600" b="1" i="0" baseline="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　　 </a:t>
          </a:r>
          <a:r>
            <a:rPr lang="ja-JP" altLang="ja-JP" sz="1600" b="0" i="0" baseline="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また、</a:t>
          </a:r>
          <a:r>
            <a:rPr lang="ja-JP" altLang="ja-JP" sz="1600" b="1" i="0" baseline="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個人年金（個人が生命保険会社や損害保険会社と契約する年金）</a:t>
          </a:r>
          <a:r>
            <a:rPr lang="ja-JP" altLang="ja-JP" sz="1600" b="0" i="0" baseline="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は</a:t>
          </a:r>
          <a:r>
            <a:rPr lang="ja-JP" altLang="ja-JP" sz="1600" b="1" i="0" baseline="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「その他</a:t>
          </a:r>
          <a:r>
            <a:rPr lang="ja-JP" altLang="en-US" sz="1600" b="1" i="0" baseline="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の</a:t>
          </a:r>
          <a:r>
            <a:rPr lang="ja-JP" altLang="ja-JP" sz="1600" b="1" i="0" baseline="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所得（年額）」</a:t>
          </a:r>
          <a:r>
            <a:rPr lang="ja-JP" altLang="ja-JP" sz="1600" b="0" i="0" baseline="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に入力してください</a:t>
          </a:r>
          <a:r>
            <a:rPr lang="ja-JP" altLang="en-US" sz="1600" b="0" i="0" baseline="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。</a:t>
          </a:r>
          <a:endParaRPr lang="en-US" altLang="ja-JP" sz="1600" b="0" i="0" baseline="0">
            <a:solidFill>
              <a:sysClr val="windowText" lastClr="00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en-US" sz="1600" b="0" i="0" u="none" strike="noStrike" baseline="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   </a:t>
          </a:r>
          <a:r>
            <a:rPr lang="ja-JP" altLang="en-US" sz="1600" b="0" i="0" u="none" strike="noStrike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⑶ 年金、給与</a:t>
          </a:r>
          <a:r>
            <a:rPr lang="ja-JP" altLang="en-US" sz="1600" b="1" i="0" u="none" strike="noStrike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以外</a:t>
          </a:r>
          <a:r>
            <a:rPr lang="ja-JP" altLang="en-US" sz="1600" b="0" i="0" u="none" strike="noStrike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の所得（分離課税以外の営業・農業、不動産、配当所得等）がある方は、経費等を差し引いた後の所得金額（年金、給与</a:t>
          </a:r>
          <a:endParaRPr lang="en-US" altLang="ja-JP" sz="1600" b="0" i="0" u="none" strike="noStrike" baseline="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en-US" sz="1600" b="0" i="0" u="none" strike="noStrike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　　 以外の所得が複数ある場合は合計額）を</a:t>
          </a:r>
          <a:r>
            <a:rPr lang="ja-JP" altLang="en-US" sz="1600" b="1" i="0" u="none" strike="noStrike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「その他の所得（年額）」</a:t>
          </a:r>
          <a:r>
            <a:rPr lang="ja-JP" altLang="en-US" sz="1600" b="0" i="0" u="none" strike="noStrike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欄に入力してください。</a:t>
          </a:r>
        </a:p>
        <a:p>
          <a:pPr algn="l" rtl="0">
            <a:defRPr sz="1000"/>
          </a:pPr>
          <a:r>
            <a:rPr lang="ja-JP" altLang="en-US" sz="1800" b="0" i="0" u="none" strike="noStrike" baseline="0">
              <a:solidFill>
                <a:srgbClr val="FF0000"/>
              </a:solidFill>
              <a:latin typeface="Meiryo UI"/>
              <a:ea typeface="Meiryo UI"/>
            </a:rPr>
            <a:t>　</a:t>
          </a:r>
          <a:endParaRPr lang="ja-JP" altLang="en-US" sz="1000" b="0" i="0" u="none" strike="noStrike" baseline="0">
            <a:solidFill>
              <a:srgbClr val="000000"/>
            </a:solidFill>
            <a:latin typeface="Meiryo UI"/>
            <a:ea typeface="Meiryo UI"/>
          </a:endParaRPr>
        </a:p>
      </xdr:txBody>
    </xdr:sp>
    <xdr:clientData/>
  </xdr:twoCellAnchor>
  <xdr:twoCellAnchor editAs="absolute">
    <xdr:from>
      <xdr:col>3</xdr:col>
      <xdr:colOff>194828</xdr:colOff>
      <xdr:row>16</xdr:row>
      <xdr:rowOff>207819</xdr:rowOff>
    </xdr:from>
    <xdr:to>
      <xdr:col>53</xdr:col>
      <xdr:colOff>121227</xdr:colOff>
      <xdr:row>25</xdr:row>
      <xdr:rowOff>149678</xdr:rowOff>
    </xdr:to>
    <xdr:sp macro="" textlink="">
      <xdr:nvSpPr>
        <xdr:cNvPr id="18" name="角丸四角形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 bwMode="auto">
        <a:xfrm>
          <a:off x="662419" y="3550228"/>
          <a:ext cx="12464763" cy="2660814"/>
        </a:xfrm>
        <a:prstGeom prst="roundRect">
          <a:avLst>
            <a:gd name="adj" fmla="val 1416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horzOverflow="clip" rtlCol="0" anchor="t"/>
        <a:lstStyle/>
        <a:p>
          <a:pPr algn="l"/>
          <a:endParaRPr kumimoji="1" lang="ja-JP" altLang="en-US" sz="2400" b="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2</xdr:col>
      <xdr:colOff>277955</xdr:colOff>
      <xdr:row>11</xdr:row>
      <xdr:rowOff>84589</xdr:rowOff>
    </xdr:from>
    <xdr:ext cx="11671590" cy="469593"/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451137" y="2301316"/>
          <a:ext cx="11671590" cy="46959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 anchorCtr="0">
          <a:noAutofit/>
        </a:bodyPr>
        <a:lstStyle/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1800" b="1" i="0" u="none" baseline="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lang="ja-JP" altLang="en-US" sz="1800" b="1" i="0" u="none" baseline="0">
              <a:solidFill>
                <a:schemeClr val="tx2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分離課税所得や損失の繰越控除</a:t>
          </a:r>
          <a:r>
            <a:rPr lang="ja-JP" altLang="en-US" sz="1800" b="1" i="0" u="none" baseline="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</a:t>
          </a:r>
          <a:r>
            <a:rPr lang="ja-JP" altLang="en-US" sz="1800" b="1" i="0" u="none" baseline="0">
              <a:solidFill>
                <a:schemeClr val="tx2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専従者控除等</a:t>
          </a:r>
          <a:r>
            <a:rPr lang="ja-JP" altLang="en-US" sz="1800" b="1" i="0" u="none" baseline="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がある場合、また給与等の収入金額が</a:t>
          </a:r>
          <a:r>
            <a:rPr lang="en-US" altLang="ja-JP" sz="1800" b="1" i="0" u="none" baseline="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850</a:t>
          </a:r>
          <a:r>
            <a:rPr lang="ja-JP" altLang="en-US" sz="1800" b="1" i="0" u="none" baseline="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万円超で一定条件に該当し</a:t>
          </a:r>
          <a:endParaRPr lang="ja-JP" altLang="ja-JP" sz="1800" b="1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1</xdr:col>
      <xdr:colOff>155862</xdr:colOff>
      <xdr:row>9</xdr:row>
      <xdr:rowOff>219075</xdr:rowOff>
    </xdr:from>
    <xdr:ext cx="9040093" cy="490970"/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173180" y="1846984"/>
          <a:ext cx="9040093" cy="49097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 anchorCtr="1">
          <a:noAutofit/>
        </a:bodyPr>
        <a:lstStyle/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1800" b="1" i="0" u="none" baseline="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lang="ja-JP" altLang="en-US" sz="1800" b="1" i="0" u="none" baseline="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試算結果は入力した条件による</a:t>
          </a:r>
          <a:r>
            <a:rPr lang="ja-JP" altLang="en-US" sz="1800" b="1" i="0" u="none" baseline="0">
              <a:solidFill>
                <a:srgbClr val="1F497D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概算</a:t>
          </a:r>
          <a:r>
            <a:rPr lang="ja-JP" altLang="en-US" sz="1800" b="1" i="0" u="none" baseline="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です。</a:t>
          </a:r>
          <a:r>
            <a:rPr lang="ja-JP" altLang="en-US" sz="1800" b="1" i="0" u="none" baseline="0">
              <a:solidFill>
                <a:srgbClr val="1F497D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実際の保険料額とは、異なる場合があります。</a:t>
          </a:r>
          <a:endParaRPr lang="en-US" altLang="ja-JP" sz="1800" b="1" i="0" u="none" baseline="0">
            <a:solidFill>
              <a:srgbClr val="1F497D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ja-JP" altLang="ja-JP" sz="1200" b="1">
            <a:solidFill>
              <a:sysClr val="windowText" lastClr="00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3</xdr:col>
      <xdr:colOff>69271</xdr:colOff>
      <xdr:row>12</xdr:row>
      <xdr:rowOff>217343</xdr:rowOff>
    </xdr:from>
    <xdr:ext cx="10460183" cy="492703"/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536862" y="2659207"/>
          <a:ext cx="10460183" cy="4927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 anchorCtr="0">
          <a:noAutofit/>
        </a:bodyPr>
        <a:lstStyle/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400" b="1" i="0" u="none" baseline="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lang="ja-JP" altLang="en-US" sz="1800" b="1" i="0" u="none" baseline="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所得金額調整控除を受ける方、</a:t>
          </a:r>
          <a:r>
            <a:rPr lang="ja-JP" altLang="en-US" sz="1800" b="1" i="0" u="none" baseline="0">
              <a:solidFill>
                <a:schemeClr val="tx2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被用者保険の被扶養者であった方</a:t>
          </a:r>
          <a:r>
            <a:rPr lang="ja-JP" altLang="en-US" sz="1800" b="1" i="0" u="none" baseline="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等は、</a:t>
          </a:r>
          <a:r>
            <a:rPr lang="ja-JP" altLang="en-US" sz="1800" b="1" i="0" u="none" baseline="0">
              <a:solidFill>
                <a:schemeClr val="tx2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このシートでは試算できません</a:t>
          </a:r>
          <a:r>
            <a:rPr lang="ja-JP" altLang="en-US" sz="1800" b="1" i="0" u="none" baseline="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。</a:t>
          </a:r>
        </a:p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ja-JP" altLang="ja-JP" sz="1400" b="1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2</xdr:col>
      <xdr:colOff>268429</xdr:colOff>
      <xdr:row>14</xdr:row>
      <xdr:rowOff>156731</xdr:rowOff>
    </xdr:from>
    <xdr:ext cx="9810752" cy="518679"/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41611" y="3048867"/>
          <a:ext cx="9810752" cy="5186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 anchorCtr="0">
          <a:noAutofit/>
        </a:bodyPr>
        <a:lstStyle/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1800" b="1" i="0" baseline="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lang="ja-JP" altLang="en-US" sz="1800" b="1" i="0" baseline="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このシートにおける被保険者とは、埼玉県後期高齢者医療広域連合の被保険者の資格を有する方です。</a:t>
          </a:r>
        </a:p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ja-JP" altLang="ja-JP" sz="1400" b="1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>
    <xdr:from>
      <xdr:col>13</xdr:col>
      <xdr:colOff>57467</xdr:colOff>
      <xdr:row>26</xdr:row>
      <xdr:rowOff>288792</xdr:rowOff>
    </xdr:from>
    <xdr:to>
      <xdr:col>16</xdr:col>
      <xdr:colOff>212268</xdr:colOff>
      <xdr:row>28</xdr:row>
      <xdr:rowOff>340178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3295967" y="4425363"/>
          <a:ext cx="889587" cy="4187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400" b="1">
              <a:latin typeface="Meiryo UI" panose="020B0604030504040204" pitchFamily="50" charset="-128"/>
              <a:ea typeface="Meiryo UI" panose="020B0604030504040204" pitchFamily="50" charset="-128"/>
            </a:rPr>
            <a:t>年  齢</a:t>
          </a:r>
        </a:p>
      </xdr:txBody>
    </xdr:sp>
    <xdr:clientData/>
  </xdr:twoCellAnchor>
  <xdr:oneCellAnchor>
    <xdr:from>
      <xdr:col>62</xdr:col>
      <xdr:colOff>79663</xdr:colOff>
      <xdr:row>28</xdr:row>
      <xdr:rowOff>381866</xdr:rowOff>
    </xdr:from>
    <xdr:ext cx="7391400" cy="276225"/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16618527" y="6425911"/>
          <a:ext cx="7391400" cy="276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 anchorCtr="0">
          <a:noAutofit/>
        </a:bodyPr>
        <a:lstStyle/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ja-JP" altLang="ja-JP" sz="1400" b="1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>
    <xdr:from>
      <xdr:col>13</xdr:col>
      <xdr:colOff>57467</xdr:colOff>
      <xdr:row>31</xdr:row>
      <xdr:rowOff>291513</xdr:rowOff>
    </xdr:from>
    <xdr:to>
      <xdr:col>16</xdr:col>
      <xdr:colOff>212268</xdr:colOff>
      <xdr:row>33</xdr:row>
      <xdr:rowOff>342899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1BD63B5B-86ED-4D72-8FFE-3BC0FC793069}"/>
            </a:ext>
          </a:extLst>
        </xdr:cNvPr>
        <xdr:cNvSpPr txBox="1"/>
      </xdr:nvSpPr>
      <xdr:spPr>
        <a:xfrm>
          <a:off x="3295967" y="5734370"/>
          <a:ext cx="889587" cy="4187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400" b="1">
              <a:latin typeface="Meiryo UI" panose="020B0604030504040204" pitchFamily="50" charset="-128"/>
              <a:ea typeface="Meiryo UI" panose="020B0604030504040204" pitchFamily="50" charset="-128"/>
            </a:rPr>
            <a:t>年  齢</a:t>
          </a:r>
        </a:p>
      </xdr:txBody>
    </xdr:sp>
    <xdr:clientData/>
  </xdr:twoCellAnchor>
  <xdr:twoCellAnchor>
    <xdr:from>
      <xdr:col>13</xdr:col>
      <xdr:colOff>57467</xdr:colOff>
      <xdr:row>37</xdr:row>
      <xdr:rowOff>8485</xdr:rowOff>
    </xdr:from>
    <xdr:to>
      <xdr:col>16</xdr:col>
      <xdr:colOff>212268</xdr:colOff>
      <xdr:row>38</xdr:row>
      <xdr:rowOff>359228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A7985942-BCF4-4582-B2B0-31CA12628E57}"/>
            </a:ext>
          </a:extLst>
        </xdr:cNvPr>
        <xdr:cNvSpPr txBox="1"/>
      </xdr:nvSpPr>
      <xdr:spPr>
        <a:xfrm>
          <a:off x="3295967" y="7152235"/>
          <a:ext cx="889587" cy="4187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400" b="1">
              <a:latin typeface="Meiryo UI" panose="020B0604030504040204" pitchFamily="50" charset="-128"/>
              <a:ea typeface="Meiryo UI" panose="020B0604030504040204" pitchFamily="50" charset="-128"/>
            </a:rPr>
            <a:t>年  齢</a:t>
          </a:r>
        </a:p>
      </xdr:txBody>
    </xdr:sp>
    <xdr:clientData/>
  </xdr:twoCellAnchor>
  <xdr:twoCellAnchor>
    <xdr:from>
      <xdr:col>13</xdr:col>
      <xdr:colOff>57467</xdr:colOff>
      <xdr:row>42</xdr:row>
      <xdr:rowOff>38420</xdr:rowOff>
    </xdr:from>
    <xdr:to>
      <xdr:col>16</xdr:col>
      <xdr:colOff>212268</xdr:colOff>
      <xdr:row>43</xdr:row>
      <xdr:rowOff>389164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ACC7F5BD-52CA-476D-B6FD-232363F84712}"/>
            </a:ext>
          </a:extLst>
        </xdr:cNvPr>
        <xdr:cNvSpPr txBox="1"/>
      </xdr:nvSpPr>
      <xdr:spPr>
        <a:xfrm>
          <a:off x="3295967" y="8583706"/>
          <a:ext cx="889587" cy="4187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400" b="1">
              <a:latin typeface="Meiryo UI" panose="020B0604030504040204" pitchFamily="50" charset="-128"/>
              <a:ea typeface="Meiryo UI" panose="020B0604030504040204" pitchFamily="50" charset="-128"/>
            </a:rPr>
            <a:t>年  齢</a:t>
          </a:r>
        </a:p>
      </xdr:txBody>
    </xdr:sp>
    <xdr:clientData/>
  </xdr:twoCellAnchor>
  <xdr:oneCellAnchor>
    <xdr:from>
      <xdr:col>1</xdr:col>
      <xdr:colOff>27219</xdr:colOff>
      <xdr:row>5</xdr:row>
      <xdr:rowOff>2</xdr:rowOff>
    </xdr:from>
    <xdr:ext cx="12790712" cy="1108363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DAD9DFA2-3007-4571-BC07-DA7E89366EFA}"/>
            </a:ext>
          </a:extLst>
        </xdr:cNvPr>
        <xdr:cNvSpPr txBox="1"/>
      </xdr:nvSpPr>
      <xdr:spPr>
        <a:xfrm>
          <a:off x="44537" y="710047"/>
          <a:ext cx="12790712" cy="110836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 anchorCtr="1">
          <a:noAutofit/>
        </a:bodyPr>
        <a:lstStyle/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2000" b="1" i="0" baseline="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計算対象者を</a:t>
          </a:r>
          <a:r>
            <a:rPr lang="ja-JP" altLang="en-US" sz="2400" b="1" i="0" baseline="0">
              <a:solidFill>
                <a:srgbClr val="00B0F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水色</a:t>
          </a:r>
          <a:r>
            <a:rPr lang="ja-JP" altLang="en-US" sz="2000" b="1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のセル</a:t>
          </a:r>
          <a:r>
            <a:rPr lang="ja-JP" altLang="en-US" sz="2000" b="1" i="0" baseline="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に、同じ世帯にその他の被保険者</a:t>
          </a:r>
          <a:r>
            <a:rPr lang="en-US" altLang="ja-JP" sz="2000" b="1" i="0" baseline="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</a:t>
          </a:r>
          <a:r>
            <a:rPr lang="ja-JP" altLang="en-US" sz="2000" b="1" i="0" baseline="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世帯主含む</a:t>
          </a:r>
          <a:r>
            <a:rPr lang="en-US" altLang="ja-JP" sz="2000" b="1" i="0" baseline="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)</a:t>
          </a:r>
          <a:r>
            <a:rPr lang="ja-JP" altLang="en-US" sz="2000" b="1" i="0" baseline="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がいる場合は</a:t>
          </a:r>
          <a:r>
            <a:rPr lang="ja-JP" altLang="en-US" sz="2400" b="1" i="0" baseline="0">
              <a:solidFill>
                <a:srgbClr val="0099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緑</a:t>
          </a:r>
          <a:r>
            <a:rPr lang="ja-JP" altLang="en-US" sz="2000" b="1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のセル</a:t>
          </a:r>
          <a:r>
            <a:rPr lang="ja-JP" altLang="en-US" sz="2000" b="1" i="0" baseline="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に入力してください。</a:t>
          </a:r>
          <a:endParaRPr lang="en-US" altLang="ja-JP" sz="2000" b="1" i="0" baseline="0">
            <a:solidFill>
              <a:schemeClr val="dk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2400" b="1" i="0" u="none" baseline="0">
              <a:solidFill>
                <a:srgbClr val="FF6600"/>
              </a:solidFill>
              <a:effectLst/>
              <a:uFill>
                <a:solidFill>
                  <a:srgbClr val="FF0000"/>
                </a:solidFill>
              </a:u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オレンジ</a:t>
          </a:r>
          <a:r>
            <a:rPr lang="ja-JP" altLang="en-US" sz="2000" b="1" i="0" u="none" baseline="0">
              <a:solidFill>
                <a:schemeClr val="dk1"/>
              </a:solidFill>
              <a:effectLst/>
              <a:uFill>
                <a:solidFill>
                  <a:srgbClr val="FF0000"/>
                </a:solidFill>
              </a:u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のセルは、</a:t>
          </a:r>
          <a:r>
            <a:rPr lang="ja-JP" altLang="en-US" sz="2000" b="1" i="0" u="none" baseline="0">
              <a:solidFill>
                <a:schemeClr val="tx1"/>
              </a:solidFill>
              <a:effectLst/>
              <a:uFill>
                <a:solidFill>
                  <a:srgbClr val="FF0000"/>
                </a:solidFill>
              </a:u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後期高齢者医療制度の</a:t>
          </a:r>
          <a:r>
            <a:rPr lang="ja-JP" altLang="en-US" sz="2000" b="1" i="0" u="none" baseline="0">
              <a:solidFill>
                <a:srgbClr val="FF6600"/>
              </a:solidFill>
              <a:effectLst/>
              <a:uFill>
                <a:solidFill>
                  <a:srgbClr val="FF0000"/>
                </a:solidFill>
              </a:u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被保険者でない世帯主がいる</a:t>
          </a:r>
          <a:r>
            <a:rPr lang="ja-JP" altLang="en-US" sz="2000" b="1" i="0" u="none" baseline="0">
              <a:solidFill>
                <a:schemeClr val="tx1"/>
              </a:solidFill>
              <a:effectLst/>
              <a:uFill>
                <a:solidFill>
                  <a:srgbClr val="FF0000"/>
                </a:solidFill>
              </a:u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場合</a:t>
          </a:r>
          <a:r>
            <a:rPr lang="ja-JP" altLang="en-US" sz="2000" b="1" i="0" u="none" baseline="0">
              <a:solidFill>
                <a:schemeClr val="dk1"/>
              </a:solidFill>
              <a:effectLst/>
              <a:uFill>
                <a:solidFill>
                  <a:srgbClr val="FF0000"/>
                </a:solidFill>
              </a:u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のみ入力して下さい。</a:t>
          </a:r>
          <a:endParaRPr lang="en-US" altLang="ja-JP" sz="2000" b="1" i="0" u="none" baseline="0">
            <a:solidFill>
              <a:schemeClr val="dk1"/>
            </a:solidFill>
            <a:effectLst/>
            <a:uFill>
              <a:solidFill>
                <a:srgbClr val="FF0000"/>
              </a:solidFill>
            </a:u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38100</xdr:colOff>
          <xdr:row>48</xdr:row>
          <xdr:rowOff>28575</xdr:rowOff>
        </xdr:from>
        <xdr:to>
          <xdr:col>49</xdr:col>
          <xdr:colOff>200025</xdr:colOff>
          <xdr:row>50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628650</xdr:colOff>
      <xdr:row>19</xdr:row>
      <xdr:rowOff>57150</xdr:rowOff>
    </xdr:from>
    <xdr:to>
      <xdr:col>2</xdr:col>
      <xdr:colOff>609600</xdr:colOff>
      <xdr:row>23</xdr:row>
      <xdr:rowOff>161925</xdr:rowOff>
    </xdr:to>
    <xdr:sp macro="" textlink="">
      <xdr:nvSpPr>
        <xdr:cNvPr id="2" name="四角形吹き出し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 bwMode="auto">
        <a:xfrm>
          <a:off x="1628775" y="4267200"/>
          <a:ext cx="1085850" cy="847725"/>
        </a:xfrm>
        <a:prstGeom prst="wedgeRectCallout">
          <a:avLst>
            <a:gd name="adj1" fmla="val -26096"/>
            <a:gd name="adj2" fmla="val -60877"/>
          </a:avLst>
        </a:prstGeom>
        <a:solidFill>
          <a:srgbClr val="66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horzOverflow="clip" rtlCol="0" anchor="t"/>
        <a:lstStyle/>
        <a:p>
          <a:pPr algn="l"/>
          <a:r>
            <a:rPr kumimoji="1" lang="ja-JP" altLang="en-US" sz="11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年金給与所得者の数の計算含めました</a:t>
          </a:r>
          <a:endParaRPr kumimoji="1" lang="en-US" altLang="ja-JP" sz="11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628650</xdr:colOff>
      <xdr:row>19</xdr:row>
      <xdr:rowOff>57150</xdr:rowOff>
    </xdr:from>
    <xdr:to>
      <xdr:col>2</xdr:col>
      <xdr:colOff>609600</xdr:colOff>
      <xdr:row>23</xdr:row>
      <xdr:rowOff>161925</xdr:rowOff>
    </xdr:to>
    <xdr:sp macro="" textlink="">
      <xdr:nvSpPr>
        <xdr:cNvPr id="2" name="四角形吹き出し 1">
          <a:extLst>
            <a:ext uri="{FF2B5EF4-FFF2-40B4-BE49-F238E27FC236}">
              <a16:creationId xmlns:a16="http://schemas.microsoft.com/office/drawing/2014/main" id="{282CFF3E-D100-4079-A98F-43E89D3CC392}"/>
            </a:ext>
          </a:extLst>
        </xdr:cNvPr>
        <xdr:cNvSpPr/>
      </xdr:nvSpPr>
      <xdr:spPr bwMode="auto">
        <a:xfrm>
          <a:off x="1628775" y="4267200"/>
          <a:ext cx="1085850" cy="847725"/>
        </a:xfrm>
        <a:prstGeom prst="wedgeRectCallout">
          <a:avLst>
            <a:gd name="adj1" fmla="val -26096"/>
            <a:gd name="adj2" fmla="val -60877"/>
          </a:avLst>
        </a:prstGeom>
        <a:solidFill>
          <a:srgbClr val="66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horzOverflow="clip" rtlCol="0" anchor="t"/>
        <a:lstStyle/>
        <a:p>
          <a:pPr algn="l"/>
          <a:r>
            <a:rPr kumimoji="1" lang="ja-JP" altLang="en-US" sz="11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年金給与所得者の数の計算含めました</a:t>
          </a:r>
          <a:endParaRPr kumimoji="1" lang="en-US" altLang="ja-JP" sz="11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a:spPr>
      <a:bodyPr anchor="ctr"/>
      <a:lstStyle>
        <a:defPPr algn="ctr">
          <a:defRPr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defRPr>
        </a:defPPr>
      </a:lst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B1:BH62"/>
  <sheetViews>
    <sheetView showGridLines="0" tabSelected="1" view="pageBreakPreview" zoomScale="55" zoomScaleNormal="70" zoomScaleSheetLayoutView="55" workbookViewId="0">
      <selection activeCell="C30" sqref="C30:K30"/>
    </sheetView>
  </sheetViews>
  <sheetFormatPr defaultRowHeight="14.25" x14ac:dyDescent="0.25"/>
  <cols>
    <col min="1" max="1" width="0.25" style="76" customWidth="1"/>
    <col min="2" max="2" width="2.125" style="76" customWidth="1"/>
    <col min="3" max="11" width="3.75" style="76" customWidth="1"/>
    <col min="12" max="59" width="3.25" style="76" customWidth="1"/>
    <col min="60" max="60" width="9" style="76"/>
    <col min="61" max="61" width="9" style="76" customWidth="1"/>
    <col min="62" max="16384" width="9" style="76"/>
  </cols>
  <sheetData>
    <row r="1" ht="4.5" customHeight="1" x14ac:dyDescent="0.25"/>
    <row r="2" ht="14.45" customHeight="1" x14ac:dyDescent="0.25"/>
    <row r="3" ht="14.45" customHeight="1" x14ac:dyDescent="0.25"/>
    <row r="4" ht="14.45" customHeight="1" x14ac:dyDescent="0.25"/>
    <row r="5" ht="10.5" customHeight="1" x14ac:dyDescent="0.25"/>
    <row r="6" ht="15" customHeight="1" x14ac:dyDescent="0.25"/>
    <row r="7" ht="19.5" customHeight="1" x14ac:dyDescent="0.25"/>
    <row r="8" ht="19.5" customHeight="1" x14ac:dyDescent="0.25"/>
    <row r="9" ht="19.5" customHeight="1" x14ac:dyDescent="0.25"/>
    <row r="10" ht="29.25" customHeight="1" x14ac:dyDescent="0.25"/>
    <row r="11" ht="18" customHeight="1" x14ac:dyDescent="0.25"/>
    <row r="12" ht="18" customHeight="1" x14ac:dyDescent="0.25"/>
    <row r="13" ht="18" customHeight="1" x14ac:dyDescent="0.25"/>
    <row r="14" ht="18" customHeight="1" x14ac:dyDescent="0.25"/>
    <row r="15" ht="18" customHeight="1" x14ac:dyDescent="0.25"/>
    <row r="16" ht="18" customHeight="1" x14ac:dyDescent="0.25"/>
    <row r="17" spans="2:59" ht="18" customHeight="1" x14ac:dyDescent="0.25"/>
    <row r="18" spans="2:59" ht="24" customHeight="1" x14ac:dyDescent="0.25"/>
    <row r="19" spans="2:59" ht="24" customHeight="1" x14ac:dyDescent="0.25"/>
    <row r="20" spans="2:59" ht="24" customHeight="1" x14ac:dyDescent="0.25"/>
    <row r="21" spans="2:59" ht="24" customHeight="1" x14ac:dyDescent="0.25"/>
    <row r="22" spans="2:59" ht="24" customHeight="1" x14ac:dyDescent="0.25">
      <c r="B22" s="77"/>
    </row>
    <row r="23" spans="2:59" ht="24" customHeight="1" x14ac:dyDescent="0.25">
      <c r="B23" s="77"/>
    </row>
    <row r="24" spans="2:59" ht="24" customHeight="1" x14ac:dyDescent="0.25"/>
    <row r="25" spans="2:59" ht="24" customHeight="1" x14ac:dyDescent="0.25"/>
    <row r="26" spans="2:59" ht="20.100000000000001" customHeight="1" x14ac:dyDescent="0.25"/>
    <row r="27" spans="2:59" ht="23.25" customHeight="1" x14ac:dyDescent="0.25">
      <c r="C27" s="129" t="s">
        <v>121</v>
      </c>
      <c r="D27" s="128"/>
      <c r="E27" s="128"/>
      <c r="F27" s="128"/>
      <c r="G27" s="78"/>
      <c r="H27" s="78"/>
      <c r="I27" s="78"/>
      <c r="J27" s="78"/>
      <c r="K27" s="78"/>
      <c r="L27" s="78"/>
      <c r="M27" s="78"/>
      <c r="N27" s="78"/>
      <c r="O27" s="78"/>
      <c r="P27" s="78"/>
      <c r="Q27" s="78"/>
      <c r="R27" s="78"/>
      <c r="S27" s="78"/>
      <c r="T27" s="78"/>
      <c r="U27" s="78"/>
      <c r="V27" s="78"/>
      <c r="W27" s="78"/>
      <c r="X27" s="78"/>
      <c r="Y27" s="78"/>
      <c r="Z27" s="78"/>
      <c r="AA27" s="78"/>
      <c r="AB27" s="78"/>
      <c r="AC27" s="78"/>
      <c r="AD27" s="78"/>
      <c r="AE27" s="78"/>
      <c r="AF27" s="127"/>
      <c r="AG27" s="127"/>
      <c r="AH27" s="127"/>
      <c r="AI27" s="127"/>
      <c r="AJ27" s="127"/>
      <c r="AK27" s="127"/>
      <c r="AL27" s="127"/>
      <c r="AM27" s="127"/>
      <c r="AN27" s="78"/>
      <c r="AO27" s="78"/>
      <c r="AP27" s="78"/>
      <c r="AQ27" s="78"/>
      <c r="AR27" s="78"/>
      <c r="AS27" s="78"/>
      <c r="AT27" s="78"/>
      <c r="AU27" s="78"/>
      <c r="AV27" s="78"/>
      <c r="AW27" s="78"/>
      <c r="AX27" s="78"/>
      <c r="AY27" s="78"/>
      <c r="AZ27" s="78"/>
      <c r="BA27" s="78"/>
      <c r="BB27" s="78"/>
      <c r="BC27" s="78"/>
      <c r="BD27" s="78"/>
      <c r="BE27" s="78"/>
      <c r="BF27" s="126"/>
      <c r="BG27" s="78"/>
    </row>
    <row r="28" spans="2:59" ht="5.25" customHeight="1" x14ac:dyDescent="0.25">
      <c r="C28" s="79"/>
      <c r="D28" s="79"/>
      <c r="E28" s="79"/>
      <c r="F28" s="79"/>
      <c r="G28" s="78"/>
      <c r="H28" s="78"/>
      <c r="I28" s="78"/>
      <c r="J28" s="78"/>
      <c r="K28" s="78"/>
      <c r="L28" s="78"/>
      <c r="M28" s="78"/>
      <c r="N28" s="78"/>
      <c r="O28" s="78"/>
      <c r="P28" s="78"/>
      <c r="Q28" s="78"/>
      <c r="R28" s="78"/>
      <c r="S28" s="78"/>
      <c r="T28" s="78"/>
      <c r="U28" s="78"/>
      <c r="V28" s="78"/>
      <c r="W28" s="78"/>
      <c r="X28" s="78"/>
      <c r="Y28" s="78"/>
      <c r="Z28" s="78"/>
      <c r="AA28" s="78"/>
      <c r="AB28" s="78"/>
      <c r="AC28" s="78"/>
      <c r="AD28" s="78"/>
      <c r="AE28" s="78"/>
      <c r="AF28" s="78"/>
      <c r="AG28" s="78"/>
      <c r="AH28" s="78"/>
      <c r="AI28" s="78"/>
      <c r="AJ28" s="78"/>
      <c r="AK28" s="78"/>
      <c r="AL28" s="78"/>
      <c r="AM28" s="78"/>
      <c r="AN28" s="78"/>
      <c r="AO28" s="78"/>
      <c r="AP28" s="78"/>
      <c r="AQ28" s="78"/>
      <c r="AR28" s="78"/>
      <c r="AS28" s="78"/>
      <c r="AT28" s="78"/>
      <c r="AU28" s="78"/>
      <c r="AV28" s="78"/>
      <c r="AW28" s="78"/>
      <c r="AX28" s="78"/>
      <c r="AY28" s="78"/>
      <c r="AZ28" s="78"/>
      <c r="BA28" s="78"/>
      <c r="BB28" s="78"/>
      <c r="BC28" s="78"/>
      <c r="BD28" s="78"/>
      <c r="BE28" s="78"/>
      <c r="BF28" s="78"/>
      <c r="BG28" s="78"/>
    </row>
    <row r="29" spans="2:59" ht="39" customHeight="1" x14ac:dyDescent="0.35">
      <c r="C29" s="220" t="s">
        <v>63</v>
      </c>
      <c r="D29" s="221"/>
      <c r="E29" s="221"/>
      <c r="F29" s="221"/>
      <c r="G29" s="221"/>
      <c r="H29" s="221"/>
      <c r="I29" s="221"/>
      <c r="J29" s="221"/>
      <c r="K29" s="222"/>
      <c r="L29" s="225" t="s">
        <v>110</v>
      </c>
      <c r="M29" s="226"/>
      <c r="N29" s="226"/>
      <c r="O29" s="226"/>
      <c r="P29" s="226"/>
      <c r="Q29" s="226"/>
      <c r="R29" s="227"/>
      <c r="S29" s="230" t="s">
        <v>29</v>
      </c>
      <c r="T29" s="231"/>
      <c r="U29" s="231"/>
      <c r="V29" s="231"/>
      <c r="W29" s="231"/>
      <c r="X29" s="231"/>
      <c r="Y29" s="231"/>
      <c r="Z29" s="231"/>
      <c r="AA29" s="231"/>
      <c r="AB29" s="231"/>
      <c r="AC29" s="231"/>
      <c r="AD29" s="231"/>
      <c r="AE29" s="232"/>
      <c r="AF29" s="230" t="s">
        <v>30</v>
      </c>
      <c r="AG29" s="231"/>
      <c r="AH29" s="231"/>
      <c r="AI29" s="231"/>
      <c r="AJ29" s="231"/>
      <c r="AK29" s="231"/>
      <c r="AL29" s="231"/>
      <c r="AM29" s="231"/>
      <c r="AN29" s="231"/>
      <c r="AO29" s="231"/>
      <c r="AP29" s="231"/>
      <c r="AQ29" s="231"/>
      <c r="AR29" s="231"/>
      <c r="AS29" s="232"/>
      <c r="AT29" s="230" t="s">
        <v>64</v>
      </c>
      <c r="AU29" s="231"/>
      <c r="AV29" s="231"/>
      <c r="AW29" s="231"/>
      <c r="AX29" s="231"/>
      <c r="AY29" s="231"/>
      <c r="AZ29" s="231"/>
      <c r="BA29" s="231"/>
      <c r="BB29" s="231"/>
      <c r="BC29" s="231"/>
      <c r="BD29" s="231"/>
      <c r="BE29" s="231"/>
      <c r="BF29" s="232"/>
      <c r="BG29" s="79"/>
    </row>
    <row r="30" spans="2:59" ht="35.1" customHeight="1" x14ac:dyDescent="0.25">
      <c r="B30" s="77"/>
      <c r="C30" s="223" t="s">
        <v>126</v>
      </c>
      <c r="D30" s="224"/>
      <c r="E30" s="224"/>
      <c r="F30" s="224"/>
      <c r="G30" s="224"/>
      <c r="H30" s="224"/>
      <c r="I30" s="224"/>
      <c r="J30" s="224"/>
      <c r="K30" s="224"/>
      <c r="L30" s="210" t="s">
        <v>139</v>
      </c>
      <c r="M30" s="210"/>
      <c r="N30" s="210"/>
      <c r="O30" s="210"/>
      <c r="P30" s="210"/>
      <c r="Q30" s="210"/>
      <c r="R30" s="210"/>
      <c r="S30" s="228"/>
      <c r="T30" s="229"/>
      <c r="U30" s="229"/>
      <c r="V30" s="229"/>
      <c r="W30" s="229"/>
      <c r="X30" s="229"/>
      <c r="Y30" s="229"/>
      <c r="Z30" s="229"/>
      <c r="AA30" s="229"/>
      <c r="AB30" s="229"/>
      <c r="AC30" s="229"/>
      <c r="AD30" s="229"/>
      <c r="AE30" s="80" t="s">
        <v>31</v>
      </c>
      <c r="AF30" s="228"/>
      <c r="AG30" s="229"/>
      <c r="AH30" s="229"/>
      <c r="AI30" s="229"/>
      <c r="AJ30" s="229"/>
      <c r="AK30" s="229"/>
      <c r="AL30" s="229"/>
      <c r="AM30" s="229"/>
      <c r="AN30" s="229"/>
      <c r="AO30" s="229"/>
      <c r="AP30" s="229"/>
      <c r="AQ30" s="229"/>
      <c r="AR30" s="229"/>
      <c r="AS30" s="80" t="s">
        <v>31</v>
      </c>
      <c r="AT30" s="228"/>
      <c r="AU30" s="229"/>
      <c r="AV30" s="229"/>
      <c r="AW30" s="229"/>
      <c r="AX30" s="229"/>
      <c r="AY30" s="229"/>
      <c r="AZ30" s="229"/>
      <c r="BA30" s="229"/>
      <c r="BB30" s="229"/>
      <c r="BC30" s="229"/>
      <c r="BD30" s="229"/>
      <c r="BE30" s="229"/>
      <c r="BF30" s="80" t="s">
        <v>31</v>
      </c>
      <c r="BG30" s="81"/>
    </row>
    <row r="31" spans="2:59" ht="9" customHeight="1" x14ac:dyDescent="0.25">
      <c r="B31" s="77"/>
      <c r="C31" s="81"/>
      <c r="D31" s="81"/>
      <c r="E31" s="81"/>
      <c r="F31" s="81"/>
      <c r="G31" s="82"/>
      <c r="H31" s="82"/>
      <c r="I31" s="83"/>
      <c r="J31" s="81"/>
      <c r="K31" s="81"/>
      <c r="L31" s="81"/>
      <c r="M31" s="81"/>
      <c r="N31" s="81"/>
      <c r="O31" s="81"/>
      <c r="P31" s="81"/>
      <c r="Q31" s="84"/>
      <c r="R31" s="84"/>
      <c r="S31" s="84"/>
      <c r="T31" s="84"/>
      <c r="U31" s="84"/>
      <c r="V31" s="84"/>
      <c r="W31" s="84"/>
      <c r="X31" s="84"/>
      <c r="Y31" s="84"/>
      <c r="Z31" s="84"/>
      <c r="AA31" s="84"/>
      <c r="AB31" s="84"/>
      <c r="AC31" s="84"/>
      <c r="AD31" s="84"/>
      <c r="AE31" s="84"/>
      <c r="AF31" s="84"/>
      <c r="AG31" s="84"/>
      <c r="AH31" s="84"/>
      <c r="AI31" s="84"/>
      <c r="AJ31" s="84"/>
      <c r="AK31" s="84"/>
      <c r="AL31" s="84"/>
      <c r="AM31" s="84"/>
      <c r="AN31" s="84"/>
      <c r="AO31" s="84"/>
      <c r="AP31" s="84"/>
      <c r="AQ31" s="84"/>
      <c r="AR31" s="84"/>
      <c r="AS31" s="84"/>
      <c r="AT31" s="84"/>
      <c r="AU31" s="84"/>
      <c r="AV31" s="84"/>
      <c r="AW31" s="84"/>
      <c r="AX31" s="84"/>
      <c r="AY31" s="84"/>
      <c r="AZ31" s="84"/>
      <c r="BA31" s="84"/>
      <c r="BB31" s="84"/>
      <c r="BC31" s="84"/>
      <c r="BD31" s="84"/>
      <c r="BE31" s="84"/>
      <c r="BF31" s="84"/>
      <c r="BG31" s="84"/>
    </row>
    <row r="32" spans="2:59" ht="23.25" customHeight="1" x14ac:dyDescent="0.3">
      <c r="C32" s="129" t="s">
        <v>120</v>
      </c>
      <c r="D32" s="128"/>
      <c r="E32" s="128"/>
      <c r="F32" s="128"/>
      <c r="G32" s="78"/>
      <c r="H32" s="78"/>
      <c r="I32" s="78"/>
      <c r="J32" s="78"/>
      <c r="K32" s="78"/>
      <c r="L32" s="78"/>
      <c r="M32" s="78"/>
      <c r="N32" s="78"/>
      <c r="O32" s="78"/>
      <c r="P32" s="130" t="s">
        <v>124</v>
      </c>
      <c r="Q32" s="78"/>
      <c r="R32" s="78"/>
      <c r="S32" s="78"/>
      <c r="T32" s="78"/>
      <c r="U32" s="78"/>
      <c r="V32" s="78"/>
      <c r="W32" s="78"/>
      <c r="X32" s="78"/>
      <c r="Y32" s="78"/>
      <c r="Z32" s="78"/>
      <c r="AA32" s="78"/>
      <c r="AB32" s="78"/>
      <c r="AC32" s="78"/>
      <c r="AD32" s="78"/>
      <c r="AE32" s="78"/>
      <c r="AF32" s="78"/>
      <c r="AG32" s="78"/>
      <c r="AH32" s="78"/>
      <c r="AI32" s="78"/>
      <c r="AJ32" s="78"/>
      <c r="AK32" s="78"/>
      <c r="AL32" s="78"/>
      <c r="AM32" s="78"/>
      <c r="AN32" s="78"/>
      <c r="AO32" s="78"/>
      <c r="AP32" s="78"/>
      <c r="AQ32" s="78"/>
      <c r="AR32" s="78"/>
      <c r="AS32" s="78"/>
      <c r="AT32" s="78"/>
      <c r="AU32" s="78"/>
      <c r="AV32" s="78"/>
      <c r="AW32" s="78"/>
      <c r="AX32" s="78"/>
      <c r="AY32" s="78"/>
      <c r="AZ32" s="78"/>
      <c r="BA32" s="78"/>
      <c r="BB32" s="78"/>
      <c r="BC32" s="78"/>
      <c r="BD32" s="78"/>
      <c r="BE32" s="78"/>
      <c r="BF32" s="78"/>
      <c r="BG32" s="78"/>
    </row>
    <row r="33" spans="2:60" ht="5.25" customHeight="1" x14ac:dyDescent="0.25">
      <c r="C33" s="79"/>
      <c r="D33" s="79"/>
      <c r="E33" s="79"/>
      <c r="F33" s="79"/>
      <c r="G33" s="78"/>
      <c r="H33" s="78"/>
      <c r="I33" s="78"/>
      <c r="J33" s="78"/>
      <c r="K33" s="78"/>
      <c r="L33" s="78"/>
      <c r="M33" s="78"/>
      <c r="N33" s="78"/>
      <c r="O33" s="78"/>
      <c r="P33" s="78"/>
      <c r="Q33" s="78"/>
      <c r="R33" s="78"/>
      <c r="S33" s="78"/>
      <c r="T33" s="78"/>
      <c r="U33" s="78"/>
      <c r="V33" s="78"/>
      <c r="W33" s="78"/>
      <c r="X33" s="78"/>
      <c r="Y33" s="78"/>
      <c r="Z33" s="78"/>
      <c r="AA33" s="78"/>
      <c r="AB33" s="78"/>
      <c r="AC33" s="78"/>
      <c r="AD33" s="78"/>
      <c r="AE33" s="78"/>
      <c r="AF33" s="78"/>
      <c r="AG33" s="78"/>
      <c r="AH33" s="78"/>
      <c r="AI33" s="78"/>
      <c r="AJ33" s="78"/>
      <c r="AK33" s="78"/>
      <c r="AL33" s="78"/>
      <c r="AM33" s="78"/>
      <c r="AN33" s="78"/>
      <c r="AO33" s="78"/>
      <c r="AP33" s="78"/>
      <c r="AQ33" s="78"/>
      <c r="AR33" s="78"/>
      <c r="AS33" s="78"/>
      <c r="AT33" s="78"/>
      <c r="AU33" s="78"/>
      <c r="AV33" s="78"/>
      <c r="AW33" s="78"/>
      <c r="AX33" s="78"/>
      <c r="AY33" s="78"/>
      <c r="AZ33" s="78"/>
      <c r="BA33" s="78"/>
      <c r="BB33" s="78"/>
      <c r="BC33" s="78"/>
      <c r="BD33" s="78"/>
      <c r="BE33" s="78"/>
      <c r="BF33" s="78"/>
      <c r="BG33" s="78"/>
    </row>
    <row r="34" spans="2:60" ht="39" customHeight="1" x14ac:dyDescent="0.35">
      <c r="C34" s="203" t="s">
        <v>118</v>
      </c>
      <c r="D34" s="204"/>
      <c r="E34" s="204"/>
      <c r="F34" s="204"/>
      <c r="G34" s="204"/>
      <c r="H34" s="204"/>
      <c r="I34" s="204"/>
      <c r="J34" s="204"/>
      <c r="K34" s="205"/>
      <c r="L34" s="217" t="s">
        <v>110</v>
      </c>
      <c r="M34" s="218"/>
      <c r="N34" s="218"/>
      <c r="O34" s="218"/>
      <c r="P34" s="218"/>
      <c r="Q34" s="218"/>
      <c r="R34" s="219"/>
      <c r="S34" s="233" t="s">
        <v>29</v>
      </c>
      <c r="T34" s="234"/>
      <c r="U34" s="234"/>
      <c r="V34" s="234"/>
      <c r="W34" s="234"/>
      <c r="X34" s="234"/>
      <c r="Y34" s="234"/>
      <c r="Z34" s="234"/>
      <c r="AA34" s="234"/>
      <c r="AB34" s="234"/>
      <c r="AC34" s="234"/>
      <c r="AD34" s="234"/>
      <c r="AE34" s="235"/>
      <c r="AF34" s="233" t="s">
        <v>30</v>
      </c>
      <c r="AG34" s="234"/>
      <c r="AH34" s="234"/>
      <c r="AI34" s="234"/>
      <c r="AJ34" s="234"/>
      <c r="AK34" s="234"/>
      <c r="AL34" s="234"/>
      <c r="AM34" s="234"/>
      <c r="AN34" s="234"/>
      <c r="AO34" s="234"/>
      <c r="AP34" s="234"/>
      <c r="AQ34" s="234"/>
      <c r="AR34" s="234"/>
      <c r="AS34" s="235"/>
      <c r="AT34" s="233" t="s">
        <v>64</v>
      </c>
      <c r="AU34" s="234"/>
      <c r="AV34" s="234"/>
      <c r="AW34" s="234"/>
      <c r="AX34" s="234"/>
      <c r="AY34" s="234"/>
      <c r="AZ34" s="234"/>
      <c r="BA34" s="234"/>
      <c r="BB34" s="234"/>
      <c r="BC34" s="234"/>
      <c r="BD34" s="234"/>
      <c r="BE34" s="234"/>
      <c r="BF34" s="235"/>
      <c r="BG34" s="79"/>
    </row>
    <row r="35" spans="2:60" ht="35.1" customHeight="1" x14ac:dyDescent="0.25">
      <c r="B35" s="77"/>
      <c r="C35" s="206"/>
      <c r="D35" s="207"/>
      <c r="E35" s="207"/>
      <c r="F35" s="207"/>
      <c r="G35" s="207"/>
      <c r="H35" s="207"/>
      <c r="I35" s="207"/>
      <c r="J35" s="207"/>
      <c r="K35" s="208"/>
      <c r="L35" s="210"/>
      <c r="M35" s="210"/>
      <c r="N35" s="210"/>
      <c r="O35" s="210"/>
      <c r="P35" s="210"/>
      <c r="Q35" s="210"/>
      <c r="R35" s="210"/>
      <c r="S35" s="236"/>
      <c r="T35" s="237"/>
      <c r="U35" s="237"/>
      <c r="V35" s="237"/>
      <c r="W35" s="237"/>
      <c r="X35" s="237"/>
      <c r="Y35" s="237"/>
      <c r="Z35" s="237"/>
      <c r="AA35" s="237"/>
      <c r="AB35" s="237"/>
      <c r="AC35" s="237"/>
      <c r="AD35" s="237"/>
      <c r="AE35" s="80" t="s">
        <v>31</v>
      </c>
      <c r="AF35" s="236"/>
      <c r="AG35" s="237"/>
      <c r="AH35" s="237"/>
      <c r="AI35" s="237"/>
      <c r="AJ35" s="237"/>
      <c r="AK35" s="237"/>
      <c r="AL35" s="237"/>
      <c r="AM35" s="237"/>
      <c r="AN35" s="237"/>
      <c r="AO35" s="237"/>
      <c r="AP35" s="237"/>
      <c r="AQ35" s="237"/>
      <c r="AR35" s="237"/>
      <c r="AS35" s="80" t="s">
        <v>31</v>
      </c>
      <c r="AT35" s="236"/>
      <c r="AU35" s="237"/>
      <c r="AV35" s="237"/>
      <c r="AW35" s="237"/>
      <c r="AX35" s="237"/>
      <c r="AY35" s="237"/>
      <c r="AZ35" s="237"/>
      <c r="BA35" s="237"/>
      <c r="BB35" s="237"/>
      <c r="BC35" s="237"/>
      <c r="BD35" s="237"/>
      <c r="BE35" s="237"/>
      <c r="BF35" s="80" t="s">
        <v>31</v>
      </c>
      <c r="BG35" s="81"/>
    </row>
    <row r="36" spans="2:60" ht="9" customHeight="1" x14ac:dyDescent="0.25">
      <c r="B36" s="81"/>
      <c r="C36" s="85"/>
      <c r="D36" s="85"/>
      <c r="E36" s="85"/>
      <c r="F36" s="85"/>
      <c r="G36" s="86"/>
      <c r="H36" s="86"/>
      <c r="I36" s="87"/>
      <c r="J36" s="88"/>
      <c r="K36" s="88"/>
      <c r="L36" s="88"/>
      <c r="M36" s="88"/>
      <c r="N36" s="88"/>
      <c r="O36" s="88"/>
      <c r="P36" s="88"/>
      <c r="Q36" s="89"/>
      <c r="R36" s="89"/>
      <c r="S36" s="89"/>
      <c r="T36" s="89"/>
      <c r="U36" s="89"/>
      <c r="V36" s="89"/>
      <c r="W36" s="89"/>
      <c r="X36" s="89"/>
      <c r="Y36" s="89"/>
      <c r="Z36" s="89"/>
      <c r="AA36" s="89"/>
      <c r="AB36" s="89"/>
      <c r="AC36" s="89"/>
      <c r="AD36" s="89"/>
      <c r="AE36" s="89"/>
      <c r="AF36" s="89"/>
      <c r="AG36" s="89"/>
      <c r="AH36" s="89"/>
      <c r="AI36" s="89"/>
      <c r="AJ36" s="89"/>
      <c r="AK36" s="89"/>
      <c r="AL36" s="89"/>
      <c r="AM36" s="89"/>
      <c r="AN36" s="89"/>
      <c r="AO36" s="89"/>
      <c r="AP36" s="89"/>
      <c r="AQ36" s="89"/>
      <c r="AR36" s="89"/>
      <c r="AS36" s="89"/>
      <c r="AT36" s="89"/>
      <c r="AU36" s="89"/>
      <c r="AV36" s="89"/>
      <c r="AW36" s="89"/>
      <c r="AX36" s="89"/>
      <c r="AY36" s="89"/>
      <c r="AZ36" s="89"/>
      <c r="BA36" s="89"/>
      <c r="BB36" s="89"/>
      <c r="BC36" s="89"/>
      <c r="BD36" s="89"/>
      <c r="BE36" s="89"/>
      <c r="BF36" s="90"/>
      <c r="BG36" s="90"/>
      <c r="BH36" s="91"/>
    </row>
    <row r="37" spans="2:60" ht="23.25" customHeight="1" x14ac:dyDescent="0.3">
      <c r="C37" s="129" t="s">
        <v>119</v>
      </c>
      <c r="D37" s="128"/>
      <c r="E37" s="128"/>
      <c r="F37" s="128"/>
      <c r="G37" s="78"/>
      <c r="H37" s="78"/>
      <c r="I37" s="78"/>
      <c r="J37" s="78"/>
      <c r="K37" s="78"/>
      <c r="L37" s="78"/>
      <c r="M37" s="78"/>
      <c r="N37" s="78"/>
      <c r="O37" s="78"/>
      <c r="P37" s="130" t="s">
        <v>125</v>
      </c>
      <c r="Q37" s="78"/>
      <c r="R37" s="78"/>
      <c r="S37" s="78"/>
      <c r="T37" s="78"/>
      <c r="U37" s="78"/>
      <c r="V37" s="78"/>
      <c r="W37" s="78"/>
      <c r="X37" s="78"/>
      <c r="Y37" s="78"/>
      <c r="Z37" s="78"/>
      <c r="AA37" s="78"/>
      <c r="AB37" s="78"/>
      <c r="AC37" s="78"/>
      <c r="AD37" s="78"/>
      <c r="AE37" s="78"/>
      <c r="AF37" s="78"/>
      <c r="AG37" s="78"/>
      <c r="AH37" s="78"/>
      <c r="AI37" s="78"/>
      <c r="AJ37" s="78"/>
      <c r="AK37" s="78"/>
      <c r="AL37" s="78"/>
      <c r="AM37" s="78"/>
      <c r="AN37" s="78"/>
      <c r="AO37" s="78"/>
      <c r="AP37" s="78"/>
      <c r="AQ37" s="78"/>
      <c r="AR37" s="78"/>
      <c r="AS37" s="78"/>
      <c r="AT37" s="78"/>
      <c r="AU37" s="78"/>
      <c r="AV37" s="78"/>
      <c r="AW37" s="78"/>
      <c r="AX37" s="78"/>
      <c r="AY37" s="78"/>
      <c r="AZ37" s="78"/>
      <c r="BA37" s="78"/>
      <c r="BB37" s="78"/>
      <c r="BC37" s="78"/>
      <c r="BD37" s="78"/>
      <c r="BE37" s="78"/>
      <c r="BF37" s="78"/>
      <c r="BG37" s="78"/>
    </row>
    <row r="38" spans="2:60" ht="5.25" customHeight="1" x14ac:dyDescent="0.25">
      <c r="C38" s="79"/>
      <c r="D38" s="79"/>
      <c r="E38" s="79"/>
      <c r="F38" s="79"/>
      <c r="G38" s="78"/>
      <c r="H38" s="78"/>
      <c r="I38" s="78"/>
      <c r="J38" s="78"/>
      <c r="K38" s="78"/>
      <c r="L38" s="78"/>
      <c r="M38" s="78"/>
      <c r="N38" s="78"/>
      <c r="O38" s="78"/>
      <c r="P38" s="78"/>
      <c r="Q38" s="78"/>
      <c r="R38" s="78"/>
      <c r="S38" s="78"/>
      <c r="T38" s="78"/>
      <c r="U38" s="78"/>
      <c r="V38" s="78"/>
      <c r="W38" s="78"/>
      <c r="X38" s="78"/>
      <c r="Y38" s="78"/>
      <c r="Z38" s="78"/>
      <c r="AA38" s="78"/>
      <c r="AB38" s="78"/>
      <c r="AC38" s="78"/>
      <c r="AD38" s="78"/>
      <c r="AE38" s="78"/>
      <c r="AF38" s="78"/>
      <c r="AG38" s="78"/>
      <c r="AH38" s="78"/>
      <c r="AI38" s="78"/>
      <c r="AJ38" s="78"/>
      <c r="AK38" s="78"/>
      <c r="AL38" s="78"/>
      <c r="AM38" s="78"/>
      <c r="AN38" s="78"/>
      <c r="AO38" s="78"/>
      <c r="AP38" s="78"/>
      <c r="AQ38" s="78"/>
      <c r="AR38" s="78"/>
      <c r="AS38" s="78"/>
      <c r="AT38" s="78"/>
      <c r="AU38" s="78"/>
      <c r="AV38" s="78"/>
      <c r="AW38" s="78"/>
      <c r="AX38" s="78"/>
      <c r="AY38" s="78"/>
      <c r="AZ38" s="78"/>
      <c r="BA38" s="78"/>
      <c r="BB38" s="78"/>
      <c r="BC38" s="78"/>
      <c r="BD38" s="78"/>
      <c r="BE38" s="78"/>
      <c r="BF38" s="78"/>
      <c r="BG38" s="78"/>
    </row>
    <row r="39" spans="2:60" ht="39" customHeight="1" x14ac:dyDescent="0.35">
      <c r="C39" s="203" t="s">
        <v>118</v>
      </c>
      <c r="D39" s="204"/>
      <c r="E39" s="204"/>
      <c r="F39" s="204"/>
      <c r="G39" s="204"/>
      <c r="H39" s="204"/>
      <c r="I39" s="204"/>
      <c r="J39" s="204"/>
      <c r="K39" s="205"/>
      <c r="L39" s="217" t="s">
        <v>110</v>
      </c>
      <c r="M39" s="218"/>
      <c r="N39" s="218"/>
      <c r="O39" s="218"/>
      <c r="P39" s="218"/>
      <c r="Q39" s="218"/>
      <c r="R39" s="219"/>
      <c r="S39" s="233" t="s">
        <v>29</v>
      </c>
      <c r="T39" s="234"/>
      <c r="U39" s="234"/>
      <c r="V39" s="234"/>
      <c r="W39" s="234"/>
      <c r="X39" s="234"/>
      <c r="Y39" s="234"/>
      <c r="Z39" s="234"/>
      <c r="AA39" s="234"/>
      <c r="AB39" s="234"/>
      <c r="AC39" s="234"/>
      <c r="AD39" s="234"/>
      <c r="AE39" s="235"/>
      <c r="AF39" s="233" t="s">
        <v>30</v>
      </c>
      <c r="AG39" s="234"/>
      <c r="AH39" s="234"/>
      <c r="AI39" s="234"/>
      <c r="AJ39" s="234"/>
      <c r="AK39" s="234"/>
      <c r="AL39" s="234"/>
      <c r="AM39" s="234"/>
      <c r="AN39" s="234"/>
      <c r="AO39" s="234"/>
      <c r="AP39" s="234"/>
      <c r="AQ39" s="234"/>
      <c r="AR39" s="234"/>
      <c r="AS39" s="235"/>
      <c r="AT39" s="233" t="s">
        <v>122</v>
      </c>
      <c r="AU39" s="234"/>
      <c r="AV39" s="234"/>
      <c r="AW39" s="234"/>
      <c r="AX39" s="234"/>
      <c r="AY39" s="234"/>
      <c r="AZ39" s="234"/>
      <c r="BA39" s="234"/>
      <c r="BB39" s="234"/>
      <c r="BC39" s="234"/>
      <c r="BD39" s="234"/>
      <c r="BE39" s="234"/>
      <c r="BF39" s="235"/>
      <c r="BG39" s="79"/>
    </row>
    <row r="40" spans="2:60" ht="35.1" customHeight="1" x14ac:dyDescent="0.25">
      <c r="B40" s="77"/>
      <c r="C40" s="206"/>
      <c r="D40" s="207"/>
      <c r="E40" s="207"/>
      <c r="F40" s="207"/>
      <c r="G40" s="207"/>
      <c r="H40" s="207"/>
      <c r="I40" s="207"/>
      <c r="J40" s="207"/>
      <c r="K40" s="208"/>
      <c r="L40" s="210"/>
      <c r="M40" s="210"/>
      <c r="N40" s="210"/>
      <c r="O40" s="210"/>
      <c r="P40" s="210"/>
      <c r="Q40" s="210"/>
      <c r="R40" s="210"/>
      <c r="S40" s="228"/>
      <c r="T40" s="229"/>
      <c r="U40" s="229"/>
      <c r="V40" s="229"/>
      <c r="W40" s="229"/>
      <c r="X40" s="229"/>
      <c r="Y40" s="229"/>
      <c r="Z40" s="229"/>
      <c r="AA40" s="229"/>
      <c r="AB40" s="229"/>
      <c r="AC40" s="229"/>
      <c r="AD40" s="229"/>
      <c r="AE40" s="80" t="s">
        <v>31</v>
      </c>
      <c r="AF40" s="228"/>
      <c r="AG40" s="229"/>
      <c r="AH40" s="229"/>
      <c r="AI40" s="229"/>
      <c r="AJ40" s="229"/>
      <c r="AK40" s="229"/>
      <c r="AL40" s="229"/>
      <c r="AM40" s="229"/>
      <c r="AN40" s="229"/>
      <c r="AO40" s="229"/>
      <c r="AP40" s="229"/>
      <c r="AQ40" s="229"/>
      <c r="AR40" s="229"/>
      <c r="AS40" s="80" t="s">
        <v>31</v>
      </c>
      <c r="AT40" s="228"/>
      <c r="AU40" s="229"/>
      <c r="AV40" s="229"/>
      <c r="AW40" s="229"/>
      <c r="AX40" s="229"/>
      <c r="AY40" s="229"/>
      <c r="AZ40" s="229"/>
      <c r="BA40" s="229"/>
      <c r="BB40" s="229"/>
      <c r="BC40" s="229"/>
      <c r="BD40" s="229"/>
      <c r="BE40" s="229"/>
      <c r="BF40" s="80" t="s">
        <v>31</v>
      </c>
      <c r="BG40" s="81"/>
    </row>
    <row r="41" spans="2:60" ht="9" customHeight="1" x14ac:dyDescent="0.25">
      <c r="B41" s="92"/>
      <c r="C41" s="93"/>
      <c r="D41" s="93"/>
      <c r="E41" s="93"/>
      <c r="F41" s="93"/>
      <c r="G41" s="86"/>
      <c r="H41" s="86"/>
      <c r="I41" s="94"/>
      <c r="J41" s="91"/>
      <c r="K41" s="91"/>
      <c r="L41" s="88"/>
      <c r="M41" s="88"/>
      <c r="N41" s="88"/>
      <c r="O41" s="88"/>
      <c r="P41" s="88"/>
      <c r="Q41" s="95"/>
      <c r="R41" s="95"/>
      <c r="S41" s="95"/>
      <c r="T41" s="95"/>
      <c r="U41" s="95"/>
      <c r="V41" s="95"/>
      <c r="W41" s="95"/>
      <c r="X41" s="95"/>
      <c r="Y41" s="95"/>
      <c r="Z41" s="95"/>
      <c r="AA41" s="95"/>
      <c r="AB41" s="95"/>
      <c r="AC41" s="95"/>
      <c r="AD41" s="95"/>
      <c r="AE41" s="95"/>
      <c r="AF41" s="95"/>
      <c r="AG41" s="95"/>
      <c r="AH41" s="95"/>
      <c r="AI41" s="95"/>
      <c r="AJ41" s="95"/>
      <c r="AK41" s="95"/>
      <c r="AL41" s="95"/>
      <c r="AM41" s="95"/>
      <c r="AN41" s="95"/>
      <c r="AO41" s="95"/>
      <c r="AP41" s="95"/>
      <c r="AQ41" s="95"/>
      <c r="AR41" s="95"/>
      <c r="AS41" s="95"/>
      <c r="AT41" s="95"/>
      <c r="AU41" s="95"/>
      <c r="AV41" s="95"/>
      <c r="AW41" s="95"/>
      <c r="AX41" s="95"/>
      <c r="AY41" s="95"/>
      <c r="AZ41" s="95"/>
      <c r="BA41" s="95"/>
      <c r="BB41" s="95"/>
      <c r="BC41" s="95"/>
      <c r="BD41" s="95"/>
      <c r="BE41" s="95"/>
      <c r="BF41" s="95"/>
      <c r="BG41" s="95"/>
    </row>
    <row r="42" spans="2:60" ht="23.25" customHeight="1" x14ac:dyDescent="0.25">
      <c r="C42" s="129" t="s">
        <v>133</v>
      </c>
      <c r="D42" s="128"/>
      <c r="E42" s="128"/>
      <c r="F42" s="128"/>
      <c r="G42" s="128"/>
      <c r="H42" s="128"/>
      <c r="I42" s="78"/>
      <c r="J42" s="78"/>
      <c r="K42" s="78"/>
      <c r="L42" s="78"/>
      <c r="M42" s="78"/>
      <c r="N42" s="78"/>
      <c r="O42" s="78"/>
      <c r="P42" s="78"/>
      <c r="Q42" s="78"/>
      <c r="R42" s="78"/>
      <c r="S42" s="78"/>
      <c r="T42" s="78"/>
      <c r="U42" s="78"/>
      <c r="V42" s="78"/>
      <c r="W42" s="78"/>
      <c r="X42" s="78"/>
      <c r="Y42" s="78"/>
      <c r="Z42" s="78"/>
      <c r="AA42" s="78"/>
      <c r="AB42" s="78"/>
      <c r="AC42" s="78"/>
      <c r="AD42" s="78"/>
      <c r="AE42" s="78"/>
      <c r="AF42" s="78"/>
      <c r="AG42" s="78"/>
      <c r="AH42" s="78"/>
      <c r="AI42" s="78"/>
      <c r="AJ42" s="78"/>
      <c r="AK42" s="78"/>
      <c r="AL42" s="78"/>
      <c r="AM42" s="78"/>
      <c r="AN42" s="78"/>
      <c r="AO42" s="78"/>
      <c r="AP42" s="78"/>
      <c r="AQ42" s="78"/>
      <c r="AR42" s="78"/>
      <c r="AS42" s="78"/>
      <c r="AT42" s="78"/>
      <c r="AU42" s="78"/>
      <c r="AV42" s="78"/>
      <c r="AW42" s="78"/>
      <c r="AX42" s="78"/>
      <c r="AY42" s="78"/>
      <c r="AZ42" s="78"/>
      <c r="BA42" s="78"/>
      <c r="BB42" s="78"/>
      <c r="BC42" s="78"/>
      <c r="BD42" s="78"/>
      <c r="BE42" s="78"/>
      <c r="BF42" s="78"/>
      <c r="BG42" s="78"/>
    </row>
    <row r="43" spans="2:60" ht="5.25" customHeight="1" x14ac:dyDescent="0.25">
      <c r="C43" s="79"/>
      <c r="D43" s="79"/>
      <c r="E43" s="79"/>
      <c r="F43" s="79"/>
      <c r="G43" s="78"/>
      <c r="H43" s="78"/>
      <c r="I43" s="78"/>
      <c r="J43" s="78"/>
      <c r="K43" s="78"/>
      <c r="L43" s="78"/>
      <c r="M43" s="78"/>
      <c r="N43" s="78"/>
      <c r="O43" s="78"/>
      <c r="P43" s="78"/>
      <c r="Q43" s="78"/>
      <c r="R43" s="78"/>
      <c r="S43" s="78"/>
      <c r="T43" s="78"/>
      <c r="U43" s="78"/>
      <c r="V43" s="78"/>
      <c r="W43" s="78"/>
      <c r="X43" s="78"/>
      <c r="Y43" s="78"/>
      <c r="Z43" s="78"/>
      <c r="AA43" s="78"/>
      <c r="AB43" s="78"/>
      <c r="AC43" s="78"/>
      <c r="AD43" s="78"/>
      <c r="AE43" s="78"/>
      <c r="AF43" s="78"/>
      <c r="AG43" s="78"/>
      <c r="AH43" s="78"/>
      <c r="AI43" s="78"/>
      <c r="AJ43" s="78"/>
      <c r="AK43" s="78"/>
      <c r="AL43" s="78"/>
      <c r="AM43" s="78"/>
      <c r="AN43" s="78"/>
      <c r="AO43" s="78"/>
      <c r="AP43" s="78"/>
      <c r="AQ43" s="78"/>
      <c r="AR43" s="78"/>
      <c r="AS43" s="78"/>
      <c r="AT43" s="78"/>
      <c r="AU43" s="78"/>
      <c r="AV43" s="78"/>
      <c r="AW43" s="78"/>
      <c r="AX43" s="78"/>
      <c r="AY43" s="78"/>
      <c r="AZ43" s="78"/>
      <c r="BA43" s="78"/>
      <c r="BB43" s="78"/>
      <c r="BC43" s="78"/>
      <c r="BD43" s="78"/>
      <c r="BE43" s="78"/>
      <c r="BF43" s="78"/>
      <c r="BG43" s="78"/>
    </row>
    <row r="44" spans="2:60" ht="39" customHeight="1" x14ac:dyDescent="0.45">
      <c r="C44" s="211" t="s">
        <v>137</v>
      </c>
      <c r="D44" s="212"/>
      <c r="E44" s="212"/>
      <c r="F44" s="212"/>
      <c r="G44" s="212"/>
      <c r="H44" s="212"/>
      <c r="I44" s="212"/>
      <c r="J44" s="212"/>
      <c r="K44" s="213"/>
      <c r="L44" s="241" t="s">
        <v>113</v>
      </c>
      <c r="M44" s="242"/>
      <c r="N44" s="242"/>
      <c r="O44" s="242"/>
      <c r="P44" s="242"/>
      <c r="Q44" s="242"/>
      <c r="R44" s="243"/>
      <c r="S44" s="238" t="s">
        <v>29</v>
      </c>
      <c r="T44" s="239"/>
      <c r="U44" s="239"/>
      <c r="V44" s="239"/>
      <c r="W44" s="239"/>
      <c r="X44" s="239"/>
      <c r="Y44" s="239"/>
      <c r="Z44" s="239"/>
      <c r="AA44" s="239"/>
      <c r="AB44" s="239"/>
      <c r="AC44" s="239"/>
      <c r="AD44" s="239"/>
      <c r="AE44" s="240"/>
      <c r="AF44" s="238" t="s">
        <v>30</v>
      </c>
      <c r="AG44" s="239"/>
      <c r="AH44" s="239"/>
      <c r="AI44" s="239"/>
      <c r="AJ44" s="239"/>
      <c r="AK44" s="239"/>
      <c r="AL44" s="239"/>
      <c r="AM44" s="239"/>
      <c r="AN44" s="239"/>
      <c r="AO44" s="239"/>
      <c r="AP44" s="239"/>
      <c r="AQ44" s="239"/>
      <c r="AR44" s="239"/>
      <c r="AS44" s="240"/>
      <c r="AT44" s="238" t="s">
        <v>64</v>
      </c>
      <c r="AU44" s="239"/>
      <c r="AV44" s="239"/>
      <c r="AW44" s="239"/>
      <c r="AX44" s="239"/>
      <c r="AY44" s="239"/>
      <c r="AZ44" s="239"/>
      <c r="BA44" s="239"/>
      <c r="BB44" s="239"/>
      <c r="BC44" s="239"/>
      <c r="BD44" s="239"/>
      <c r="BE44" s="239"/>
      <c r="BF44" s="240"/>
      <c r="BG44" s="79"/>
    </row>
    <row r="45" spans="2:60" ht="35.1" customHeight="1" x14ac:dyDescent="0.25">
      <c r="B45" s="77"/>
      <c r="C45" s="214"/>
      <c r="D45" s="215"/>
      <c r="E45" s="215"/>
      <c r="F45" s="215"/>
      <c r="G45" s="215"/>
      <c r="H45" s="215"/>
      <c r="I45" s="215"/>
      <c r="J45" s="215"/>
      <c r="K45" s="216"/>
      <c r="L45" s="210"/>
      <c r="M45" s="210"/>
      <c r="N45" s="210"/>
      <c r="O45" s="210"/>
      <c r="P45" s="210"/>
      <c r="Q45" s="210"/>
      <c r="R45" s="210"/>
      <c r="S45" s="228"/>
      <c r="T45" s="229"/>
      <c r="U45" s="229"/>
      <c r="V45" s="229"/>
      <c r="W45" s="229"/>
      <c r="X45" s="229"/>
      <c r="Y45" s="229"/>
      <c r="Z45" s="229"/>
      <c r="AA45" s="229"/>
      <c r="AB45" s="229"/>
      <c r="AC45" s="229"/>
      <c r="AD45" s="229"/>
      <c r="AE45" s="80" t="s">
        <v>31</v>
      </c>
      <c r="AF45" s="228"/>
      <c r="AG45" s="229"/>
      <c r="AH45" s="229"/>
      <c r="AI45" s="229"/>
      <c r="AJ45" s="229"/>
      <c r="AK45" s="229"/>
      <c r="AL45" s="229"/>
      <c r="AM45" s="229"/>
      <c r="AN45" s="229"/>
      <c r="AO45" s="229"/>
      <c r="AP45" s="229"/>
      <c r="AQ45" s="229"/>
      <c r="AR45" s="229"/>
      <c r="AS45" s="80" t="s">
        <v>31</v>
      </c>
      <c r="AT45" s="228"/>
      <c r="AU45" s="229"/>
      <c r="AV45" s="229"/>
      <c r="AW45" s="229"/>
      <c r="AX45" s="229"/>
      <c r="AY45" s="229"/>
      <c r="AZ45" s="229"/>
      <c r="BA45" s="229"/>
      <c r="BB45" s="229"/>
      <c r="BC45" s="229"/>
      <c r="BD45" s="229"/>
      <c r="BE45" s="229"/>
      <c r="BF45" s="80" t="s">
        <v>31</v>
      </c>
      <c r="BG45" s="81"/>
    </row>
    <row r="46" spans="2:60" ht="9.75" customHeight="1" x14ac:dyDescent="0.25">
      <c r="B46" s="92"/>
      <c r="C46" s="93"/>
      <c r="D46" s="93"/>
      <c r="E46" s="93"/>
      <c r="F46" s="93"/>
      <c r="G46" s="86"/>
      <c r="H46" s="86"/>
      <c r="I46" s="94"/>
      <c r="J46" s="91"/>
      <c r="K46" s="91"/>
      <c r="L46" s="88"/>
      <c r="M46" s="88"/>
      <c r="N46" s="88"/>
      <c r="O46" s="88"/>
      <c r="P46" s="88"/>
      <c r="Q46" s="95"/>
      <c r="R46" s="95"/>
      <c r="S46" s="95"/>
      <c r="T46" s="95"/>
      <c r="U46" s="95"/>
      <c r="V46" s="95"/>
      <c r="W46" s="95"/>
      <c r="X46" s="95"/>
      <c r="Y46" s="95"/>
      <c r="Z46" s="95"/>
      <c r="AA46" s="95"/>
      <c r="AB46" s="95"/>
      <c r="AC46" s="95"/>
      <c r="AD46" s="95"/>
      <c r="AE46" s="95"/>
      <c r="AF46" s="95"/>
      <c r="AG46" s="95"/>
      <c r="AH46" s="95"/>
      <c r="AI46" s="95"/>
      <c r="AJ46" s="95"/>
      <c r="AK46" s="95"/>
      <c r="AL46" s="95"/>
      <c r="AM46" s="95"/>
      <c r="AN46" s="95"/>
      <c r="AO46" s="95"/>
      <c r="AP46" s="95"/>
      <c r="AQ46" s="95"/>
      <c r="AR46" s="95"/>
      <c r="AS46" s="95"/>
      <c r="AT46" s="95"/>
      <c r="AU46" s="95"/>
      <c r="AV46" s="95"/>
      <c r="AW46" s="95"/>
      <c r="AX46" s="95"/>
      <c r="AY46" s="95"/>
      <c r="AZ46" s="95"/>
      <c r="BA46" s="95"/>
      <c r="BB46" s="95"/>
      <c r="BC46" s="95"/>
      <c r="BD46" s="95"/>
      <c r="BE46" s="95"/>
      <c r="BF46" s="95"/>
      <c r="BG46" s="95"/>
    </row>
    <row r="47" spans="2:60" ht="32.25" customHeight="1" thickBot="1" x14ac:dyDescent="0.35">
      <c r="G47" s="96"/>
      <c r="H47" s="97"/>
      <c r="I47" s="98"/>
      <c r="V47" s="99"/>
      <c r="W47" s="99"/>
      <c r="X47" s="99"/>
      <c r="Y47" s="99"/>
      <c r="Z47" s="99"/>
      <c r="AA47" s="99"/>
      <c r="AB47" s="99"/>
      <c r="AC47" s="99"/>
      <c r="AD47" s="100"/>
      <c r="AE47" s="101"/>
      <c r="AF47" s="100"/>
      <c r="AG47" s="100"/>
      <c r="AH47" s="100"/>
      <c r="AI47" s="100"/>
      <c r="AJ47" s="100"/>
      <c r="AK47" s="100"/>
      <c r="AL47" s="100"/>
      <c r="AM47" s="100"/>
      <c r="AN47" s="100"/>
      <c r="AO47" s="102"/>
      <c r="AP47" s="182" t="str">
        <f ca="1">"(試算日:"&amp;TEXT(TODAY(),"ggge年m月d日"&amp;")")</f>
        <v>(試算日:令和8年2月18日)</v>
      </c>
      <c r="AQ47" s="182"/>
      <c r="AR47" s="182"/>
      <c r="AS47" s="182"/>
      <c r="AT47" s="182"/>
      <c r="AU47" s="182"/>
      <c r="AV47" s="183"/>
      <c r="AW47" s="183"/>
      <c r="AX47" s="183"/>
      <c r="AY47" s="183"/>
      <c r="AZ47" s="183"/>
      <c r="BA47" s="183"/>
      <c r="BB47" s="183"/>
      <c r="BC47" s="183"/>
      <c r="BD47" s="103"/>
    </row>
    <row r="48" spans="2:60" ht="35.25" customHeight="1" thickBot="1" x14ac:dyDescent="0.5">
      <c r="C48" s="104"/>
      <c r="D48" s="104"/>
      <c r="E48" s="104"/>
      <c r="F48" s="104"/>
      <c r="G48" s="201" t="s">
        <v>111</v>
      </c>
      <c r="H48" s="201"/>
      <c r="I48" s="201"/>
      <c r="J48" s="201"/>
      <c r="K48" s="201"/>
      <c r="L48" s="201"/>
      <c r="M48" s="201"/>
      <c r="N48" s="201"/>
      <c r="O48" s="202"/>
      <c r="P48" s="201"/>
      <c r="Q48" s="202"/>
      <c r="R48" s="201"/>
      <c r="S48" s="201"/>
      <c r="T48" s="201"/>
      <c r="U48" s="201"/>
      <c r="V48" s="201"/>
      <c r="W48" s="201"/>
      <c r="X48" s="201"/>
      <c r="Y48" s="202"/>
      <c r="Z48" s="201"/>
      <c r="AA48" s="201"/>
      <c r="AB48" s="202"/>
      <c r="AC48" s="201"/>
      <c r="AD48" s="199" t="e">
        <f>'計算1(医療分)'!N3+'計算2(子ども分)'!N3</f>
        <v>#VALUE!</v>
      </c>
      <c r="AE48" s="200"/>
      <c r="AF48" s="200"/>
      <c r="AG48" s="200"/>
      <c r="AH48" s="200"/>
      <c r="AI48" s="200"/>
      <c r="AJ48" s="200"/>
      <c r="AK48" s="200"/>
      <c r="AL48" s="195" t="s">
        <v>57</v>
      </c>
      <c r="AM48" s="195"/>
      <c r="AN48" s="105" t="s">
        <v>58</v>
      </c>
      <c r="AO48" s="198" t="str">
        <f>IF(H54="資格取得月入力エラー","***",H54)</f>
        <v>***</v>
      </c>
      <c r="AP48" s="198"/>
      <c r="AQ48" s="198"/>
      <c r="AR48" s="106" t="s">
        <v>56</v>
      </c>
      <c r="AS48" s="106"/>
      <c r="AT48" s="106"/>
      <c r="AU48" s="107" t="s">
        <v>55</v>
      </c>
      <c r="AV48" s="196" t="s">
        <v>34</v>
      </c>
      <c r="AW48" s="197"/>
      <c r="AX48" s="197"/>
    </row>
    <row r="49" spans="3:58" ht="35.25" customHeight="1" x14ac:dyDescent="0.45">
      <c r="C49" s="104"/>
      <c r="D49" s="104"/>
      <c r="E49" s="104"/>
      <c r="F49" s="104"/>
      <c r="G49" s="115"/>
      <c r="H49" s="115"/>
      <c r="I49" s="115"/>
      <c r="J49" s="115"/>
      <c r="K49" s="115"/>
      <c r="L49" s="115"/>
      <c r="M49" s="115"/>
      <c r="N49" s="115"/>
      <c r="O49" s="116"/>
      <c r="P49" s="115"/>
      <c r="Q49" s="116"/>
      <c r="R49" s="115"/>
      <c r="S49" s="115"/>
      <c r="T49" s="115"/>
      <c r="U49" s="115"/>
      <c r="V49" s="115"/>
      <c r="W49" s="115"/>
      <c r="X49" s="115"/>
      <c r="Y49" s="116"/>
      <c r="Z49" s="115"/>
      <c r="AA49" s="115"/>
      <c r="AB49" s="116"/>
      <c r="AC49" s="115"/>
      <c r="AD49" s="110"/>
      <c r="AE49" s="110"/>
      <c r="AF49" s="110"/>
      <c r="AG49" s="110"/>
      <c r="AH49" s="110"/>
      <c r="AI49" s="110"/>
      <c r="AJ49" s="110"/>
      <c r="AK49" s="110"/>
      <c r="AL49" s="111"/>
      <c r="AM49" s="111"/>
      <c r="AN49" s="112"/>
      <c r="AO49" s="113"/>
      <c r="AP49" s="113"/>
      <c r="AQ49" s="113"/>
      <c r="AR49" s="114"/>
      <c r="AS49" s="114"/>
      <c r="AT49" s="114"/>
      <c r="AU49" s="79"/>
      <c r="AV49" s="109"/>
      <c r="AW49" s="109"/>
      <c r="AX49" s="109"/>
    </row>
    <row r="50" spans="3:58" ht="27.75" hidden="1" customHeight="1" x14ac:dyDescent="0.45">
      <c r="C50" s="124" t="b">
        <v>1</v>
      </c>
      <c r="D50" s="104"/>
      <c r="E50" s="118">
        <f>IF(ISBLANK(S30), 1, "")</f>
        <v>1</v>
      </c>
      <c r="F50" s="118">
        <f>IF(ISBLANK(AF30), 1, "")</f>
        <v>1</v>
      </c>
      <c r="G50" s="118">
        <f>IF(ISBLANK(AT30), 1, "")</f>
        <v>1</v>
      </c>
      <c r="H50" s="119">
        <f>COUNT(E50:G50)</f>
        <v>3</v>
      </c>
      <c r="I50" s="115"/>
      <c r="J50" s="117"/>
      <c r="K50" s="115"/>
      <c r="L50" s="115"/>
      <c r="M50" s="115"/>
      <c r="N50" s="120"/>
      <c r="O50" s="116"/>
      <c r="P50" s="115"/>
      <c r="Q50" s="116"/>
      <c r="R50" s="115"/>
      <c r="S50" s="115"/>
      <c r="T50" s="115"/>
      <c r="U50" s="115"/>
      <c r="V50" s="115"/>
      <c r="W50" s="115"/>
      <c r="X50" s="115"/>
      <c r="Y50" s="116"/>
      <c r="Z50" s="115"/>
      <c r="AA50" s="115"/>
      <c r="AB50" s="116"/>
      <c r="AC50" s="115"/>
      <c r="AD50" s="110"/>
      <c r="AE50" s="110"/>
      <c r="AF50" s="110"/>
      <c r="AG50" s="110"/>
      <c r="AH50" s="110"/>
      <c r="AI50" s="110"/>
      <c r="AJ50" s="110"/>
      <c r="AK50" s="110"/>
      <c r="AL50" s="111"/>
      <c r="AM50" s="111"/>
      <c r="AN50" s="112"/>
      <c r="AO50" s="113"/>
      <c r="AP50" s="113"/>
      <c r="AQ50" s="113"/>
      <c r="AR50" s="114"/>
      <c r="AS50" s="114"/>
      <c r="AT50" s="114"/>
      <c r="AU50" s="79"/>
      <c r="AV50" s="109"/>
      <c r="AW50" s="109"/>
      <c r="AX50" s="109"/>
    </row>
    <row r="51" spans="3:58" s="108" customFormat="1" ht="34.5" customHeight="1" x14ac:dyDescent="0.25">
      <c r="C51" s="187" t="s">
        <v>114</v>
      </c>
      <c r="D51" s="188"/>
      <c r="E51" s="188"/>
      <c r="F51" s="188"/>
      <c r="G51" s="188"/>
      <c r="H51" s="188"/>
      <c r="I51" s="188"/>
      <c r="J51" s="189"/>
      <c r="K51" s="188"/>
      <c r="L51" s="188"/>
      <c r="M51" s="188"/>
      <c r="N51" s="188"/>
      <c r="O51" s="188"/>
      <c r="P51" s="188"/>
      <c r="Q51" s="188"/>
      <c r="R51" s="188"/>
      <c r="S51" s="188"/>
      <c r="T51" s="188"/>
      <c r="U51" s="188"/>
      <c r="V51" s="188"/>
      <c r="W51" s="188"/>
      <c r="X51" s="188"/>
      <c r="Y51" s="188"/>
      <c r="Z51" s="188"/>
      <c r="AA51" s="188"/>
      <c r="AB51" s="188"/>
      <c r="AC51" s="188"/>
      <c r="AD51" s="121"/>
      <c r="AE51" s="190" t="s">
        <v>138</v>
      </c>
      <c r="AF51" s="190"/>
      <c r="AG51" s="190"/>
      <c r="AH51" s="190"/>
      <c r="AI51" s="190"/>
      <c r="AJ51" s="190"/>
      <c r="AK51" s="190"/>
      <c r="AL51" s="190"/>
      <c r="AM51" s="190"/>
      <c r="AN51" s="190"/>
      <c r="AO51" s="190"/>
      <c r="AP51" s="190"/>
      <c r="AQ51" s="190"/>
      <c r="AR51" s="190"/>
      <c r="AS51" s="190"/>
      <c r="AT51" s="190"/>
      <c r="AU51" s="190"/>
      <c r="AV51" s="190"/>
      <c r="AW51" s="190"/>
      <c r="AX51" s="190"/>
      <c r="AY51" s="190"/>
      <c r="AZ51" s="190"/>
      <c r="BA51" s="190"/>
      <c r="BB51" s="190"/>
      <c r="BC51" s="190"/>
      <c r="BD51" s="190"/>
      <c r="BE51" s="190"/>
      <c r="BF51" s="190"/>
    </row>
    <row r="52" spans="3:58" ht="18.75" customHeight="1" x14ac:dyDescent="0.25">
      <c r="C52" s="171" t="s">
        <v>112</v>
      </c>
      <c r="D52" s="172"/>
      <c r="E52" s="172"/>
      <c r="F52" s="173"/>
      <c r="G52" s="191" t="str">
        <f>'計算1(医療分)'!D17</f>
        <v>年齢選択エラー</v>
      </c>
      <c r="H52" s="184" t="str">
        <f>IF(G52="年齢選択エラー","年齢選択エラー",IF(G52="",0,VLOOKUP(G52,'設定1(医療分)'!$A$13:$B$18,2,0)))</f>
        <v>年齢選択エラー</v>
      </c>
      <c r="I52" s="185"/>
      <c r="J52" s="185"/>
      <c r="K52" s="185"/>
      <c r="L52" s="185"/>
      <c r="M52" s="185"/>
      <c r="N52" s="185"/>
      <c r="O52" s="156" t="s">
        <v>33</v>
      </c>
      <c r="P52" s="158" t="s">
        <v>130</v>
      </c>
      <c r="Q52" s="159"/>
      <c r="R52" s="159"/>
      <c r="S52" s="159"/>
      <c r="T52" s="159"/>
      <c r="U52" s="159"/>
      <c r="V52" s="159"/>
      <c r="W52" s="159"/>
      <c r="X52" s="159"/>
      <c r="Y52" s="159"/>
      <c r="Z52" s="159"/>
      <c r="AA52" s="159"/>
      <c r="AB52" s="159"/>
      <c r="AC52" s="160"/>
      <c r="AD52" s="122"/>
      <c r="AE52" s="144" t="s">
        <v>112</v>
      </c>
      <c r="AF52" s="145"/>
      <c r="AG52" s="145"/>
      <c r="AH52" s="145"/>
      <c r="AI52" s="146"/>
      <c r="AJ52" s="191" t="str">
        <f>'計算2(子ども分)'!D17</f>
        <v>年齢選択エラー</v>
      </c>
      <c r="AK52" s="184" t="str">
        <f>IF(AJ52="年齢選択エラー","年齢選択エラー",IF(AJ52="",0,VLOOKUP(AJ52,'設定2(子ども分)'!$A$13:$B$18,2,0)))</f>
        <v>年齢選択エラー</v>
      </c>
      <c r="AL52" s="193"/>
      <c r="AM52" s="193"/>
      <c r="AN52" s="193"/>
      <c r="AO52" s="193"/>
      <c r="AP52" s="193"/>
      <c r="AQ52" s="193"/>
      <c r="AR52" s="156" t="s">
        <v>33</v>
      </c>
      <c r="AS52" s="158" t="s">
        <v>90</v>
      </c>
      <c r="AT52" s="159"/>
      <c r="AU52" s="159"/>
      <c r="AV52" s="159"/>
      <c r="AW52" s="159"/>
      <c r="AX52" s="159"/>
      <c r="AY52" s="159"/>
      <c r="AZ52" s="159"/>
      <c r="BA52" s="159"/>
      <c r="BB52" s="159"/>
      <c r="BC52" s="159"/>
      <c r="BD52" s="159"/>
      <c r="BE52" s="159"/>
      <c r="BF52" s="160"/>
    </row>
    <row r="53" spans="3:58" ht="18.75" customHeight="1" x14ac:dyDescent="0.25">
      <c r="C53" s="174"/>
      <c r="D53" s="175"/>
      <c r="E53" s="175"/>
      <c r="F53" s="176"/>
      <c r="G53" s="192"/>
      <c r="H53" s="186"/>
      <c r="I53" s="186"/>
      <c r="J53" s="186"/>
      <c r="K53" s="186"/>
      <c r="L53" s="186"/>
      <c r="M53" s="186"/>
      <c r="N53" s="186"/>
      <c r="O53" s="209"/>
      <c r="P53" s="177"/>
      <c r="Q53" s="162"/>
      <c r="R53" s="162"/>
      <c r="S53" s="162"/>
      <c r="T53" s="162"/>
      <c r="U53" s="162"/>
      <c r="V53" s="162"/>
      <c r="W53" s="162"/>
      <c r="X53" s="162"/>
      <c r="Y53" s="162"/>
      <c r="Z53" s="162"/>
      <c r="AA53" s="162"/>
      <c r="AB53" s="162"/>
      <c r="AC53" s="163"/>
      <c r="AD53" s="122"/>
      <c r="AE53" s="147"/>
      <c r="AF53" s="148"/>
      <c r="AG53" s="148"/>
      <c r="AH53" s="148"/>
      <c r="AI53" s="149"/>
      <c r="AJ53" s="192"/>
      <c r="AK53" s="194"/>
      <c r="AL53" s="194"/>
      <c r="AM53" s="194"/>
      <c r="AN53" s="194"/>
      <c r="AO53" s="194"/>
      <c r="AP53" s="194"/>
      <c r="AQ53" s="194"/>
      <c r="AR53" s="157"/>
      <c r="AS53" s="161"/>
      <c r="AT53" s="162"/>
      <c r="AU53" s="162"/>
      <c r="AV53" s="162"/>
      <c r="AW53" s="162"/>
      <c r="AX53" s="162"/>
      <c r="AY53" s="162"/>
      <c r="AZ53" s="162"/>
      <c r="BA53" s="162"/>
      <c r="BB53" s="162"/>
      <c r="BC53" s="162"/>
      <c r="BD53" s="162"/>
      <c r="BE53" s="162"/>
      <c r="BF53" s="163"/>
    </row>
    <row r="54" spans="3:58" ht="34.5" customHeight="1" x14ac:dyDescent="0.3">
      <c r="C54" s="178" t="s">
        <v>59</v>
      </c>
      <c r="D54" s="179"/>
      <c r="E54" s="179"/>
      <c r="F54" s="180"/>
      <c r="G54" s="131"/>
      <c r="H54" s="136" t="str">
        <f>'設定1(医療分)'!C2</f>
        <v>資格取得月入力エラー</v>
      </c>
      <c r="I54" s="136"/>
      <c r="J54" s="136"/>
      <c r="K54" s="136"/>
      <c r="L54" s="136"/>
      <c r="M54" s="136"/>
      <c r="N54" s="136"/>
      <c r="O54" s="123" t="s">
        <v>32</v>
      </c>
      <c r="P54" s="141" t="s">
        <v>91</v>
      </c>
      <c r="Q54" s="142"/>
      <c r="R54" s="142"/>
      <c r="S54" s="142"/>
      <c r="T54" s="142"/>
      <c r="U54" s="142"/>
      <c r="V54" s="142"/>
      <c r="W54" s="142"/>
      <c r="X54" s="142"/>
      <c r="Y54" s="142"/>
      <c r="Z54" s="142"/>
      <c r="AA54" s="142"/>
      <c r="AB54" s="142"/>
      <c r="AC54" s="143"/>
      <c r="AE54" s="164" t="s">
        <v>59</v>
      </c>
      <c r="AF54" s="165"/>
      <c r="AG54" s="165"/>
      <c r="AH54" s="165"/>
      <c r="AI54" s="166"/>
      <c r="AJ54" s="131"/>
      <c r="AK54" s="136" t="str">
        <f>'設定2(子ども分)'!C2</f>
        <v>資格取得月入力エラー</v>
      </c>
      <c r="AL54" s="136"/>
      <c r="AM54" s="136"/>
      <c r="AN54" s="136"/>
      <c r="AO54" s="136"/>
      <c r="AP54" s="136"/>
      <c r="AQ54" s="136"/>
      <c r="AR54" s="123" t="s">
        <v>32</v>
      </c>
      <c r="AS54" s="141" t="s">
        <v>91</v>
      </c>
      <c r="AT54" s="142"/>
      <c r="AU54" s="142"/>
      <c r="AV54" s="142"/>
      <c r="AW54" s="142"/>
      <c r="AX54" s="142"/>
      <c r="AY54" s="142"/>
      <c r="AZ54" s="142"/>
      <c r="BA54" s="142"/>
      <c r="BB54" s="142"/>
      <c r="BC54" s="142"/>
      <c r="BD54" s="142"/>
      <c r="BE54" s="142"/>
      <c r="BF54" s="143"/>
    </row>
    <row r="55" spans="3:58" ht="18" customHeight="1" x14ac:dyDescent="0.25">
      <c r="C55" s="171" t="s">
        <v>60</v>
      </c>
      <c r="D55" s="172"/>
      <c r="E55" s="172"/>
      <c r="F55" s="173"/>
      <c r="G55" s="132"/>
      <c r="H55" s="138" t="str">
        <f>IF('計算1(医療分)'!J3="年齢選択エラー","年齢選択エラー",'計算1(医療分)'!F3-'計算1(医療分)'!J3)</f>
        <v>年齢選択エラー</v>
      </c>
      <c r="I55" s="138"/>
      <c r="J55" s="138"/>
      <c r="K55" s="138"/>
      <c r="L55" s="138"/>
      <c r="M55" s="138"/>
      <c r="N55" s="138"/>
      <c r="O55" s="156" t="s">
        <v>31</v>
      </c>
      <c r="P55" s="158" t="s">
        <v>131</v>
      </c>
      <c r="Q55" s="159"/>
      <c r="R55" s="159"/>
      <c r="S55" s="159"/>
      <c r="T55" s="159"/>
      <c r="U55" s="159"/>
      <c r="V55" s="159"/>
      <c r="W55" s="159"/>
      <c r="X55" s="159"/>
      <c r="Y55" s="159"/>
      <c r="Z55" s="159"/>
      <c r="AA55" s="159"/>
      <c r="AB55" s="159"/>
      <c r="AC55" s="160"/>
      <c r="AD55" s="122"/>
      <c r="AE55" s="144" t="s">
        <v>60</v>
      </c>
      <c r="AF55" s="145"/>
      <c r="AG55" s="145"/>
      <c r="AH55" s="145"/>
      <c r="AI55" s="146"/>
      <c r="AJ55" s="132"/>
      <c r="AK55" s="138" t="str">
        <f>IF('計算2(子ども分)'!J3="年齢選択エラー","年齢選択エラー",'計算2(子ども分)'!F3-'計算2(子ども分)'!J3)</f>
        <v>年齢選択エラー</v>
      </c>
      <c r="AL55" s="138"/>
      <c r="AM55" s="138"/>
      <c r="AN55" s="138"/>
      <c r="AO55" s="138"/>
      <c r="AP55" s="138"/>
      <c r="AQ55" s="138"/>
      <c r="AR55" s="156" t="s">
        <v>31</v>
      </c>
      <c r="AS55" s="158" t="s">
        <v>129</v>
      </c>
      <c r="AT55" s="159"/>
      <c r="AU55" s="159"/>
      <c r="AV55" s="159"/>
      <c r="AW55" s="159"/>
      <c r="AX55" s="159"/>
      <c r="AY55" s="159"/>
      <c r="AZ55" s="159"/>
      <c r="BA55" s="159"/>
      <c r="BB55" s="159"/>
      <c r="BC55" s="159"/>
      <c r="BD55" s="159"/>
      <c r="BE55" s="159"/>
      <c r="BF55" s="160"/>
    </row>
    <row r="56" spans="3:58" ht="18" customHeight="1" x14ac:dyDescent="0.25">
      <c r="C56" s="174"/>
      <c r="D56" s="175"/>
      <c r="E56" s="175"/>
      <c r="F56" s="176"/>
      <c r="G56" s="133"/>
      <c r="H56" s="139"/>
      <c r="I56" s="139"/>
      <c r="J56" s="139"/>
      <c r="K56" s="139"/>
      <c r="L56" s="139"/>
      <c r="M56" s="139"/>
      <c r="N56" s="139"/>
      <c r="O56" s="157"/>
      <c r="P56" s="161"/>
      <c r="Q56" s="162"/>
      <c r="R56" s="162"/>
      <c r="S56" s="162"/>
      <c r="T56" s="162"/>
      <c r="U56" s="162"/>
      <c r="V56" s="162"/>
      <c r="W56" s="162"/>
      <c r="X56" s="162"/>
      <c r="Y56" s="162"/>
      <c r="Z56" s="162"/>
      <c r="AA56" s="162"/>
      <c r="AB56" s="162"/>
      <c r="AC56" s="163"/>
      <c r="AD56" s="122"/>
      <c r="AE56" s="147"/>
      <c r="AF56" s="148"/>
      <c r="AG56" s="148"/>
      <c r="AH56" s="148"/>
      <c r="AI56" s="149"/>
      <c r="AJ56" s="133"/>
      <c r="AK56" s="139"/>
      <c r="AL56" s="139"/>
      <c r="AM56" s="139"/>
      <c r="AN56" s="139"/>
      <c r="AO56" s="139"/>
      <c r="AP56" s="139"/>
      <c r="AQ56" s="139"/>
      <c r="AR56" s="157"/>
      <c r="AS56" s="161"/>
      <c r="AT56" s="162"/>
      <c r="AU56" s="162"/>
      <c r="AV56" s="162"/>
      <c r="AW56" s="162"/>
      <c r="AX56" s="162"/>
      <c r="AY56" s="162"/>
      <c r="AZ56" s="162"/>
      <c r="BA56" s="162"/>
      <c r="BB56" s="162"/>
      <c r="BC56" s="162"/>
      <c r="BD56" s="162"/>
      <c r="BE56" s="162"/>
      <c r="BF56" s="163"/>
    </row>
    <row r="57" spans="3:58" ht="35.25" customHeight="1" x14ac:dyDescent="0.3">
      <c r="C57" s="178" t="s">
        <v>61</v>
      </c>
      <c r="D57" s="179"/>
      <c r="E57" s="179"/>
      <c r="F57" s="180"/>
      <c r="G57" s="134"/>
      <c r="H57" s="140" t="str">
        <f>IF(H55="年齢選択エラー","年齢選択エラー",'計算1(医療分)'!E3)</f>
        <v>年齢選択エラー</v>
      </c>
      <c r="I57" s="140"/>
      <c r="J57" s="140"/>
      <c r="K57" s="140"/>
      <c r="L57" s="140"/>
      <c r="M57" s="140"/>
      <c r="N57" s="140"/>
      <c r="O57" s="123" t="s">
        <v>31</v>
      </c>
      <c r="P57" s="167" t="s">
        <v>65</v>
      </c>
      <c r="Q57" s="168"/>
      <c r="R57" s="168"/>
      <c r="S57" s="168"/>
      <c r="T57" s="168"/>
      <c r="U57" s="168"/>
      <c r="V57" s="168"/>
      <c r="W57" s="168"/>
      <c r="X57" s="168"/>
      <c r="Y57" s="168"/>
      <c r="Z57" s="168"/>
      <c r="AA57" s="168"/>
      <c r="AB57" s="168"/>
      <c r="AC57" s="169"/>
      <c r="AE57" s="164" t="s">
        <v>61</v>
      </c>
      <c r="AF57" s="165"/>
      <c r="AG57" s="165"/>
      <c r="AH57" s="165"/>
      <c r="AI57" s="166"/>
      <c r="AJ57" s="134"/>
      <c r="AK57" s="140" t="str">
        <f>IF(H55="年齢選択エラー","年齢選択エラー",'計算2(子ども分)'!E3)</f>
        <v>年齢選択エラー</v>
      </c>
      <c r="AL57" s="140"/>
      <c r="AM57" s="140"/>
      <c r="AN57" s="140"/>
      <c r="AO57" s="140"/>
      <c r="AP57" s="140"/>
      <c r="AQ57" s="140"/>
      <c r="AR57" s="123" t="s">
        <v>31</v>
      </c>
      <c r="AS57" s="167" t="s">
        <v>65</v>
      </c>
      <c r="AT57" s="168"/>
      <c r="AU57" s="168"/>
      <c r="AV57" s="168"/>
      <c r="AW57" s="168"/>
      <c r="AX57" s="168"/>
      <c r="AY57" s="168"/>
      <c r="AZ57" s="168"/>
      <c r="BA57" s="168"/>
      <c r="BB57" s="168"/>
      <c r="BC57" s="168"/>
      <c r="BD57" s="168"/>
      <c r="BE57" s="168"/>
      <c r="BF57" s="169"/>
    </row>
    <row r="58" spans="3:58" ht="35.25" customHeight="1" x14ac:dyDescent="0.3">
      <c r="C58" s="178" t="s">
        <v>62</v>
      </c>
      <c r="D58" s="179"/>
      <c r="E58" s="179"/>
      <c r="F58" s="180"/>
      <c r="G58" s="131"/>
      <c r="H58" s="136">
        <f>'計算1(医療分)'!D3*100</f>
        <v>9.49</v>
      </c>
      <c r="I58" s="136"/>
      <c r="J58" s="136"/>
      <c r="K58" s="136"/>
      <c r="L58" s="136"/>
      <c r="M58" s="136"/>
      <c r="N58" s="136"/>
      <c r="O58" s="123" t="s">
        <v>95</v>
      </c>
      <c r="P58" s="141" t="s">
        <v>127</v>
      </c>
      <c r="Q58" s="142"/>
      <c r="R58" s="142"/>
      <c r="S58" s="142"/>
      <c r="T58" s="142"/>
      <c r="U58" s="142"/>
      <c r="V58" s="142"/>
      <c r="W58" s="142"/>
      <c r="X58" s="142"/>
      <c r="Y58" s="142"/>
      <c r="Z58" s="142"/>
      <c r="AA58" s="142"/>
      <c r="AB58" s="142"/>
      <c r="AC58" s="143"/>
      <c r="AE58" s="164" t="s">
        <v>62</v>
      </c>
      <c r="AF58" s="165"/>
      <c r="AG58" s="165"/>
      <c r="AH58" s="165"/>
      <c r="AI58" s="166"/>
      <c r="AJ58" s="131"/>
      <c r="AK58" s="136">
        <f>'計算2(子ども分)'!D3*100</f>
        <v>0.25</v>
      </c>
      <c r="AL58" s="136"/>
      <c r="AM58" s="136"/>
      <c r="AN58" s="136"/>
      <c r="AO58" s="136"/>
      <c r="AP58" s="136"/>
      <c r="AQ58" s="136"/>
      <c r="AR58" s="123" t="s">
        <v>95</v>
      </c>
      <c r="AS58" s="141" t="s">
        <v>128</v>
      </c>
      <c r="AT58" s="142"/>
      <c r="AU58" s="142"/>
      <c r="AV58" s="142"/>
      <c r="AW58" s="142"/>
      <c r="AX58" s="142"/>
      <c r="AY58" s="142"/>
      <c r="AZ58" s="142"/>
      <c r="BA58" s="142"/>
      <c r="BB58" s="142"/>
      <c r="BC58" s="142"/>
      <c r="BD58" s="142"/>
      <c r="BE58" s="142"/>
      <c r="BF58" s="143"/>
    </row>
    <row r="59" spans="3:58" ht="35.25" customHeight="1" x14ac:dyDescent="0.3">
      <c r="C59" s="181" t="s">
        <v>116</v>
      </c>
      <c r="D59" s="179"/>
      <c r="E59" s="179"/>
      <c r="F59" s="180"/>
      <c r="G59" s="135"/>
      <c r="H59" s="137" t="str">
        <f>'計算1(医療分)'!N3</f>
        <v>資格取得月入力エラー</v>
      </c>
      <c r="I59" s="137"/>
      <c r="J59" s="137"/>
      <c r="K59" s="137"/>
      <c r="L59" s="137"/>
      <c r="M59" s="137"/>
      <c r="N59" s="137"/>
      <c r="O59" s="123" t="s">
        <v>31</v>
      </c>
      <c r="P59" s="141" t="s">
        <v>117</v>
      </c>
      <c r="Q59" s="142"/>
      <c r="R59" s="142"/>
      <c r="S59" s="142"/>
      <c r="T59" s="142"/>
      <c r="U59" s="142"/>
      <c r="V59" s="142"/>
      <c r="W59" s="142"/>
      <c r="X59" s="142"/>
      <c r="Y59" s="142"/>
      <c r="Z59" s="142"/>
      <c r="AA59" s="142"/>
      <c r="AB59" s="142"/>
      <c r="AC59" s="143"/>
      <c r="AE59" s="170" t="s">
        <v>134</v>
      </c>
      <c r="AF59" s="165"/>
      <c r="AG59" s="165"/>
      <c r="AH59" s="165"/>
      <c r="AI59" s="166"/>
      <c r="AJ59" s="135"/>
      <c r="AK59" s="137" t="str">
        <f>'計算2(子ども分)'!N3</f>
        <v>資格取得月入力エラー</v>
      </c>
      <c r="AL59" s="137"/>
      <c r="AM59" s="137"/>
      <c r="AN59" s="137"/>
      <c r="AO59" s="137"/>
      <c r="AP59" s="137"/>
      <c r="AQ59" s="137"/>
      <c r="AR59" s="123" t="s">
        <v>31</v>
      </c>
      <c r="AS59" s="141" t="s">
        <v>117</v>
      </c>
      <c r="AT59" s="142"/>
      <c r="AU59" s="142"/>
      <c r="AV59" s="142"/>
      <c r="AW59" s="142"/>
      <c r="AX59" s="142"/>
      <c r="AY59" s="142"/>
      <c r="AZ59" s="142"/>
      <c r="BA59" s="142"/>
      <c r="BB59" s="142"/>
      <c r="BC59" s="142"/>
      <c r="BD59" s="142"/>
      <c r="BE59" s="142"/>
      <c r="BF59" s="143"/>
    </row>
    <row r="60" spans="3:58" ht="31.5" customHeight="1" x14ac:dyDescent="0.25">
      <c r="C60" s="171" t="s">
        <v>54</v>
      </c>
      <c r="D60" s="172"/>
      <c r="E60" s="172"/>
      <c r="F60" s="173"/>
      <c r="G60" s="150" t="s">
        <v>135</v>
      </c>
      <c r="H60" s="151"/>
      <c r="I60" s="151"/>
      <c r="J60" s="151"/>
      <c r="K60" s="151"/>
      <c r="L60" s="151"/>
      <c r="M60" s="151"/>
      <c r="N60" s="151"/>
      <c r="O60" s="151"/>
      <c r="P60" s="151"/>
      <c r="Q60" s="151"/>
      <c r="R60" s="151"/>
      <c r="S60" s="151"/>
      <c r="T60" s="151"/>
      <c r="U60" s="151"/>
      <c r="V60" s="151"/>
      <c r="W60" s="151"/>
      <c r="X60" s="151"/>
      <c r="Y60" s="151"/>
      <c r="Z60" s="151"/>
      <c r="AA60" s="151"/>
      <c r="AB60" s="151"/>
      <c r="AC60" s="152"/>
      <c r="AD60" s="122"/>
      <c r="AE60" s="144" t="s">
        <v>54</v>
      </c>
      <c r="AF60" s="145"/>
      <c r="AG60" s="145"/>
      <c r="AH60" s="145"/>
      <c r="AI60" s="146"/>
      <c r="AJ60" s="150" t="s">
        <v>136</v>
      </c>
      <c r="AK60" s="151"/>
      <c r="AL60" s="151"/>
      <c r="AM60" s="151"/>
      <c r="AN60" s="151"/>
      <c r="AO60" s="151"/>
      <c r="AP60" s="151"/>
      <c r="AQ60" s="151"/>
      <c r="AR60" s="151"/>
      <c r="AS60" s="151"/>
      <c r="AT60" s="151"/>
      <c r="AU60" s="151"/>
      <c r="AV60" s="151"/>
      <c r="AW60" s="151"/>
      <c r="AX60" s="151"/>
      <c r="AY60" s="151"/>
      <c r="AZ60" s="151"/>
      <c r="BA60" s="151"/>
      <c r="BB60" s="151"/>
      <c r="BC60" s="151"/>
      <c r="BD60" s="151"/>
      <c r="BE60" s="151"/>
      <c r="BF60" s="152"/>
    </row>
    <row r="61" spans="3:58" ht="31.5" customHeight="1" x14ac:dyDescent="0.25">
      <c r="C61" s="174"/>
      <c r="D61" s="175"/>
      <c r="E61" s="175"/>
      <c r="F61" s="176"/>
      <c r="G61" s="153"/>
      <c r="H61" s="154"/>
      <c r="I61" s="154"/>
      <c r="J61" s="154"/>
      <c r="K61" s="154"/>
      <c r="L61" s="154"/>
      <c r="M61" s="154"/>
      <c r="N61" s="154"/>
      <c r="O61" s="154"/>
      <c r="P61" s="154"/>
      <c r="Q61" s="154"/>
      <c r="R61" s="154"/>
      <c r="S61" s="154"/>
      <c r="T61" s="154"/>
      <c r="U61" s="154"/>
      <c r="V61" s="154"/>
      <c r="W61" s="154"/>
      <c r="X61" s="154"/>
      <c r="Y61" s="154"/>
      <c r="Z61" s="154"/>
      <c r="AA61" s="154"/>
      <c r="AB61" s="154"/>
      <c r="AC61" s="155"/>
      <c r="AD61" s="122"/>
      <c r="AE61" s="147"/>
      <c r="AF61" s="148"/>
      <c r="AG61" s="148"/>
      <c r="AH61" s="148"/>
      <c r="AI61" s="149"/>
      <c r="AJ61" s="153"/>
      <c r="AK61" s="154"/>
      <c r="AL61" s="154"/>
      <c r="AM61" s="154"/>
      <c r="AN61" s="154"/>
      <c r="AO61" s="154"/>
      <c r="AP61" s="154"/>
      <c r="AQ61" s="154"/>
      <c r="AR61" s="154"/>
      <c r="AS61" s="154"/>
      <c r="AT61" s="154"/>
      <c r="AU61" s="154"/>
      <c r="AV61" s="154"/>
      <c r="AW61" s="154"/>
      <c r="AX61" s="154"/>
      <c r="AY61" s="154"/>
      <c r="AZ61" s="154"/>
      <c r="BA61" s="154"/>
      <c r="BB61" s="154"/>
      <c r="BC61" s="154"/>
      <c r="BD61" s="154"/>
      <c r="BE61" s="154"/>
      <c r="BF61" s="155"/>
    </row>
    <row r="62" spans="3:58" ht="1.5" customHeight="1" x14ac:dyDescent="0.25"/>
  </sheetData>
  <sheetProtection algorithmName="SHA-512" hashValue="hgmgVNrwY3XOyH1Y1WEgFMXy92FKDf4lqzquC3CqblHdgFcCiCNWTAi9G/YrutKTYEpSyYQvSgCChA/RBXzKVA==" saltValue="RYvLW9bB6W3X1aZzlO1p+w==" spinCount="100000" sheet="1" objects="1" scenarios="1" selectLockedCells="1"/>
  <mergeCells count="91">
    <mergeCell ref="AF29:AS29"/>
    <mergeCell ref="AT29:BF29"/>
    <mergeCell ref="AF30:AR30"/>
    <mergeCell ref="AT30:BE30"/>
    <mergeCell ref="AF34:AS34"/>
    <mergeCell ref="AT34:BF34"/>
    <mergeCell ref="AT35:BE35"/>
    <mergeCell ref="AF39:AS39"/>
    <mergeCell ref="AT39:BF39"/>
    <mergeCell ref="S44:AE44"/>
    <mergeCell ref="L39:R39"/>
    <mergeCell ref="S39:AE39"/>
    <mergeCell ref="AT40:BE40"/>
    <mergeCell ref="AT45:BE45"/>
    <mergeCell ref="L45:R45"/>
    <mergeCell ref="S45:AD45"/>
    <mergeCell ref="AF45:AR45"/>
    <mergeCell ref="AT44:BF44"/>
    <mergeCell ref="S34:AE34"/>
    <mergeCell ref="L35:R35"/>
    <mergeCell ref="S35:AD35"/>
    <mergeCell ref="S40:AD40"/>
    <mergeCell ref="AF44:AS44"/>
    <mergeCell ref="L44:R44"/>
    <mergeCell ref="AF35:AR35"/>
    <mergeCell ref="AF40:AR40"/>
    <mergeCell ref="C29:K29"/>
    <mergeCell ref="C30:K30"/>
    <mergeCell ref="L29:R29"/>
    <mergeCell ref="L30:R30"/>
    <mergeCell ref="S30:AD30"/>
    <mergeCell ref="S29:AE29"/>
    <mergeCell ref="C34:K35"/>
    <mergeCell ref="C39:K40"/>
    <mergeCell ref="O52:O53"/>
    <mergeCell ref="G52:G53"/>
    <mergeCell ref="L40:R40"/>
    <mergeCell ref="C44:K45"/>
    <mergeCell ref="L34:R34"/>
    <mergeCell ref="AP47:BC47"/>
    <mergeCell ref="H52:N53"/>
    <mergeCell ref="C51:AC51"/>
    <mergeCell ref="AE51:BF51"/>
    <mergeCell ref="AE52:AI53"/>
    <mergeCell ref="AJ52:AJ53"/>
    <mergeCell ref="AK52:AQ53"/>
    <mergeCell ref="AR52:AR53"/>
    <mergeCell ref="AS52:BF53"/>
    <mergeCell ref="AL48:AM48"/>
    <mergeCell ref="AV48:AX48"/>
    <mergeCell ref="AO48:AQ48"/>
    <mergeCell ref="AD48:AK48"/>
    <mergeCell ref="G48:AC48"/>
    <mergeCell ref="C60:F61"/>
    <mergeCell ref="P52:AC53"/>
    <mergeCell ref="P54:AC54"/>
    <mergeCell ref="P55:AC56"/>
    <mergeCell ref="P57:AC57"/>
    <mergeCell ref="P58:AC58"/>
    <mergeCell ref="G60:AC61"/>
    <mergeCell ref="C52:F53"/>
    <mergeCell ref="C54:F54"/>
    <mergeCell ref="C55:F56"/>
    <mergeCell ref="C57:F57"/>
    <mergeCell ref="C58:F58"/>
    <mergeCell ref="O55:O56"/>
    <mergeCell ref="C59:F59"/>
    <mergeCell ref="P59:AC59"/>
    <mergeCell ref="AS54:BF54"/>
    <mergeCell ref="AE60:AI61"/>
    <mergeCell ref="AJ60:BF61"/>
    <mergeCell ref="AE55:AI56"/>
    <mergeCell ref="AR55:AR56"/>
    <mergeCell ref="AS55:BF56"/>
    <mergeCell ref="AE57:AI57"/>
    <mergeCell ref="AS57:BF57"/>
    <mergeCell ref="AE58:AI58"/>
    <mergeCell ref="AS58:BF58"/>
    <mergeCell ref="AK54:AQ54"/>
    <mergeCell ref="AK55:AQ56"/>
    <mergeCell ref="AE54:AI54"/>
    <mergeCell ref="AE59:AI59"/>
    <mergeCell ref="AS59:BF59"/>
    <mergeCell ref="AK57:AQ57"/>
    <mergeCell ref="AK58:AQ58"/>
    <mergeCell ref="AK59:AQ59"/>
    <mergeCell ref="H54:N54"/>
    <mergeCell ref="H55:N56"/>
    <mergeCell ref="H57:N57"/>
    <mergeCell ref="H58:N58"/>
    <mergeCell ref="H59:N59"/>
  </mergeCells>
  <phoneticPr fontId="4"/>
  <conditionalFormatting sqref="C50">
    <cfRule type="expression" priority="13">
      <formula>$C$50=FALSE</formula>
    </cfRule>
  </conditionalFormatting>
  <conditionalFormatting sqref="C51:BF61">
    <cfRule type="expression" dxfId="12" priority="3">
      <formula>$C$50=FALSE</formula>
    </cfRule>
  </conditionalFormatting>
  <conditionalFormatting sqref="G52:N53 G54:H55 G56 G57:H59">
    <cfRule type="expression" dxfId="11" priority="5">
      <formula>$H$50=3</formula>
    </cfRule>
  </conditionalFormatting>
  <conditionalFormatting sqref="S30:AD30 AF30:AR30 AT30:BE30">
    <cfRule type="notContainsBlanks" dxfId="10" priority="1">
      <formula>LEN(TRIM(S30))&gt;0</formula>
    </cfRule>
  </conditionalFormatting>
  <conditionalFormatting sqref="S35:AD35 AF35:AR35 AT35:BE35 S40:AD40 AF40:AR40 AT40:BE40 S45:AD45 AF45:AR45 AT45:BE45">
    <cfRule type="notContainsBlanks" dxfId="9" priority="2">
      <formula>LEN(TRIM(S35))&gt;0</formula>
    </cfRule>
  </conditionalFormatting>
  <conditionalFormatting sqref="S30:BF30">
    <cfRule type="expression" dxfId="8" priority="45">
      <formula>$C30="選択してください"</formula>
    </cfRule>
  </conditionalFormatting>
  <conditionalFormatting sqref="S35:BF35">
    <cfRule type="expression" dxfId="7" priority="17">
      <formula>$L35=""</formula>
    </cfRule>
  </conditionalFormatting>
  <conditionalFormatting sqref="S40:BF40">
    <cfRule type="expression" dxfId="6" priority="16">
      <formula>$L40=""</formula>
    </cfRule>
  </conditionalFormatting>
  <conditionalFormatting sqref="S45:BF45">
    <cfRule type="expression" dxfId="5" priority="14">
      <formula>$L45=""</formula>
    </cfRule>
  </conditionalFormatting>
  <conditionalFormatting sqref="AD48">
    <cfRule type="cellIs" dxfId="4" priority="9" operator="equal">
      <formula>$H$50</formula>
    </cfRule>
  </conditionalFormatting>
  <conditionalFormatting sqref="AD48:AK48">
    <cfRule type="expression" dxfId="3" priority="7">
      <formula>$H$50=3</formula>
    </cfRule>
    <cfRule type="cellIs" dxfId="2" priority="10" operator="equal">
      <formula>3</formula>
    </cfRule>
  </conditionalFormatting>
  <conditionalFormatting sqref="AJ52:AQ53 AJ54:AK55 AJ56 AJ57:AK59">
    <cfRule type="expression" dxfId="1" priority="4">
      <formula>$H$50=3</formula>
    </cfRule>
  </conditionalFormatting>
  <conditionalFormatting sqref="AO48:AQ48">
    <cfRule type="expression" dxfId="0" priority="6">
      <formula>$H$50=3</formula>
    </cfRule>
  </conditionalFormatting>
  <dataValidations count="5">
    <dataValidation type="list" allowBlank="1" showInputMessage="1" showErrorMessage="1" sqref="G41:H41 G46:H46" xr:uid="{00000000-0002-0000-0000-000000000000}">
      <formula1>"○,×"</formula1>
    </dataValidation>
    <dataValidation type="list" allowBlank="1" showInputMessage="1" showErrorMessage="1" sqref="I36 I41 I46" xr:uid="{00000000-0002-0000-0000-000001000000}">
      <formula1>"4,5,6,7,8,9,10,11,12,1,2,3"</formula1>
    </dataValidation>
    <dataValidation type="list" allowBlank="1" showInputMessage="1" showErrorMessage="1" errorTitle="入力の確認" error="指定日時点の年齢を入力してください。" sqref="L45:R45 L40:R40 L35:R35" xr:uid="{00000000-0002-0000-0000-000002000000}">
      <formula1>"65歳未満,65歳以上"</formula1>
    </dataValidation>
    <dataValidation type="whole" imeMode="off" allowBlank="1" showInputMessage="1" showErrorMessage="1" errorTitle="入力エラー" error="数値を入力してください。" sqref="S45:AD45 S40:AD40 AT40:BE40 AT45:BE45 AF45:AR45 AF40:AR40 S35:AD35 AT35:BE35 AF30:AR30 S30:AD30 AT30:BE30 AF35:AR35" xr:uid="{00000000-0002-0000-0000-000003000000}">
      <formula1>-99999999999</formula1>
      <formula2>99999999999</formula2>
    </dataValidation>
    <dataValidation type="list" allowBlank="1" showInputMessage="1" showErrorMessage="1" errorTitle="入力の確認" error="指定日時点の年齢を入力してください。" sqref="L30:R30" xr:uid="{736CD956-9AAD-4362-B760-1CD66F88CA3F}">
      <formula1>"選択してください,65歳未満,65歳以上"</formula1>
    </dataValidation>
  </dataValidations>
  <printOptions horizontalCentered="1"/>
  <pageMargins left="0.31496062992125984" right="0.19685039370078741" top="0.27559055118110237" bottom="0.19685039370078741" header="0.31496062992125984" footer="0.19685039370078741"/>
  <pageSetup paperSize="9" scale="47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37</xdr:col>
                    <xdr:colOff>38100</xdr:colOff>
                    <xdr:row>48</xdr:row>
                    <xdr:rowOff>28575</xdr:rowOff>
                  </from>
                  <to>
                    <xdr:col>49</xdr:col>
                    <xdr:colOff>200025</xdr:colOff>
                    <xdr:row>50</xdr:row>
                    <xdr:rowOff>19050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警告" error="被保険者となった月を選択してください。" xr:uid="{5203069C-921F-465E-9899-7CD5626AB080}">
          <x14:formula1>
            <xm:f>資格取得月!$A$2:$A$15</xm:f>
          </x14:formula1>
          <xm:sqref>C30:K30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0070C0"/>
  </sheetPr>
  <dimension ref="A1:K29"/>
  <sheetViews>
    <sheetView zoomScale="85" zoomScaleNormal="85" workbookViewId="0">
      <selection activeCell="B15" sqref="B15"/>
    </sheetView>
  </sheetViews>
  <sheetFormatPr defaultRowHeight="12" x14ac:dyDescent="0.25"/>
  <cols>
    <col min="1" max="2" width="16.875" style="1" bestFit="1" customWidth="1"/>
    <col min="3" max="5" width="14.375" style="1" customWidth="1"/>
    <col min="6" max="6" width="20.75" style="1" bestFit="1" customWidth="1"/>
    <col min="7" max="7" width="15.5" style="1" bestFit="1" customWidth="1"/>
    <col min="8" max="9" width="26.875" style="1" bestFit="1" customWidth="1"/>
    <col min="10" max="11" width="15.25" style="1" bestFit="1" customWidth="1"/>
    <col min="12" max="16384" width="9" style="1"/>
  </cols>
  <sheetData>
    <row r="1" spans="1:11" ht="15.75" customHeight="1" x14ac:dyDescent="0.25">
      <c r="A1" s="16"/>
      <c r="B1" s="17" t="s">
        <v>27</v>
      </c>
      <c r="C1" s="18" t="s">
        <v>22</v>
      </c>
      <c r="D1" s="20" t="s">
        <v>41</v>
      </c>
      <c r="E1" s="20" t="s">
        <v>42</v>
      </c>
      <c r="F1" s="20" t="s">
        <v>43</v>
      </c>
      <c r="G1" s="65" t="s">
        <v>80</v>
      </c>
      <c r="H1" s="65" t="s">
        <v>81</v>
      </c>
      <c r="I1" s="69" t="s">
        <v>94</v>
      </c>
      <c r="J1" s="69" t="s">
        <v>82</v>
      </c>
      <c r="K1" s="65" t="s">
        <v>88</v>
      </c>
    </row>
    <row r="2" spans="1:11" ht="15.75" customHeight="1" x14ac:dyDescent="0.25">
      <c r="A2" s="3" t="s">
        <v>37</v>
      </c>
      <c r="B2" s="54" t="str">
        <f>IF(OR(入力!C30="選択してください",ISBLANK(入力!C30)),"資格取得月入力エラー",入力!C30)</f>
        <v>資格取得月入力エラー</v>
      </c>
      <c r="C2" s="54" t="str">
        <f>IF(B2="資格取得月入力エラー","資格取得月入力エラー",VLOOKUP(B2,資格取得月!$A$3:$B$15,2,0))</f>
        <v>資格取得月入力エラー</v>
      </c>
      <c r="D2" s="28">
        <f>年金条件式!I3</f>
        <v>0</v>
      </c>
      <c r="E2" s="29">
        <f>VLOOKUP(入力!AF30,'給与所得(改正後）'!$B$3:$C$9,2)</f>
        <v>0</v>
      </c>
      <c r="F2" s="29">
        <f>入力!AT30</f>
        <v>0</v>
      </c>
      <c r="G2" s="65">
        <f>IF(MIN(100000,D2)+MIN(100000,E2)-100000&lt;0,0,MIN(100000,D2)+MIN(100000,E2)-100000)</f>
        <v>0</v>
      </c>
      <c r="H2" s="66">
        <f>IF(入力!L30="65歳以上",MIN(150000,D2),0)</f>
        <v>0</v>
      </c>
      <c r="I2" s="70">
        <f>IF(MIN(100000,D2-H2)+MIN(100000,E2)-100000&lt;0,0,MIN(100000,D2-H2)+MIN(100000,E2)-100000)</f>
        <v>0</v>
      </c>
      <c r="J2" s="70" t="str">
        <f>IF(入力!C30="",0,IF(入力!L30="選択してください","年齢選択エラー",IF(入力!L30="","年齢選択エラー",(MAX(SUM(D2-H2+E2-I2+F2),0)))))</f>
        <v>年齢選択エラー</v>
      </c>
      <c r="K2" s="65">
        <f>IF(入力!C30="選択してください",0,
   IF(入力!L30="","年齢選択エラー",
      IF(E2+D2-H2&gt;0,1,
         IF(E2&gt;0,0,
            IF(入力!AF30&gt;550000,1,0)
         )
      )
   )
)</f>
        <v>0</v>
      </c>
    </row>
    <row r="3" spans="1:11" ht="15.75" customHeight="1" x14ac:dyDescent="0.25">
      <c r="A3" s="6"/>
      <c r="B3" s="7"/>
      <c r="C3" s="7"/>
      <c r="D3" s="8"/>
      <c r="E3" s="9"/>
      <c r="F3" s="9"/>
    </row>
    <row r="4" spans="1:11" ht="15.75" customHeight="1" x14ac:dyDescent="0.25">
      <c r="A4" s="16"/>
      <c r="B4" s="21" t="s">
        <v>123</v>
      </c>
      <c r="C4" s="20" t="s">
        <v>41</v>
      </c>
      <c r="D4" s="20" t="s">
        <v>42</v>
      </c>
      <c r="E4" s="20" t="s">
        <v>43</v>
      </c>
      <c r="F4" s="62" t="s">
        <v>80</v>
      </c>
      <c r="G4" s="65" t="s">
        <v>81</v>
      </c>
      <c r="H4" s="69" t="s">
        <v>94</v>
      </c>
      <c r="I4" s="69" t="s">
        <v>83</v>
      </c>
      <c r="J4" s="65" t="s">
        <v>88</v>
      </c>
    </row>
    <row r="5" spans="1:11" ht="15.75" customHeight="1" x14ac:dyDescent="0.25">
      <c r="A5" s="3" t="s">
        <v>38</v>
      </c>
      <c r="B5" s="5">
        <f>IF(COUNTA(入力!S35,入力!AF35,入力!AT35)&gt;0, 1, 0)</f>
        <v>0</v>
      </c>
      <c r="C5" s="27">
        <f>IF(入力!C35="",年金条件式!I4,0)</f>
        <v>0</v>
      </c>
      <c r="D5" s="28">
        <f>VLOOKUP(入力!AF35,'給与所得(改正後）'!$B$13:$C$19,2)</f>
        <v>0</v>
      </c>
      <c r="E5" s="29">
        <f>入力!AT35</f>
        <v>0</v>
      </c>
      <c r="F5" s="63">
        <f>IF(MIN(100000,C5)+MIN(100000,D5)-100000&lt;0,0,MIN(100000,C5)+MIN(100000,D5)-100000)</f>
        <v>0</v>
      </c>
      <c r="G5" s="63">
        <f>IF(入力!L35="65歳以上",MIN(150000,C5),0)</f>
        <v>0</v>
      </c>
      <c r="H5" s="71">
        <f>IF(MIN(100000,C5-G5)+MIN(100000,D5)-100000&lt;0,0,MIN(100000,C5-G5)+MIN(100000,D5)-100000)</f>
        <v>0</v>
      </c>
      <c r="I5" s="70">
        <f>IF(入力!L35="",0,IF(入力!L35="","年齢選択エラー",IF(入力!L35="","年齢選択エラー",(MAX(SUM(C5:E5)-H5-G5,0)))))</f>
        <v>0</v>
      </c>
      <c r="J5" s="65">
        <f>IF(入力!L35="",0,
   IF(D5+C5-G5&gt;0,1,
      IF(D5=0,
         IF(入力!AF35&gt;550000,1,0),
      0)
   )
)</f>
        <v>0</v>
      </c>
    </row>
    <row r="6" spans="1:11" ht="15.75" customHeight="1" x14ac:dyDescent="0.25">
      <c r="A6" s="10" t="s">
        <v>39</v>
      </c>
      <c r="B6" s="5">
        <f>IF(COUNTA(入力!S40,入力!AF40,入力!AT40)&gt;0, 1, 0)</f>
        <v>0</v>
      </c>
      <c r="C6" s="27">
        <f>IF(入力!C40="",年金条件式!I5,0)</f>
        <v>0</v>
      </c>
      <c r="D6" s="28">
        <f>VLOOKUP(入力!AF40,'給与所得(改正後）'!$B$23:$C$29,2)</f>
        <v>0</v>
      </c>
      <c r="E6" s="28">
        <f>入力!AT40</f>
        <v>0</v>
      </c>
      <c r="F6" s="64">
        <f>IF(MIN(100000,C6)+MIN(100000,D6)-100000&lt;0,0,MIN(100000,C6)+MIN(100000,D6)-100000)</f>
        <v>0</v>
      </c>
      <c r="G6" s="63">
        <f>IF(入力!L40="65歳以上",MIN(150000,C6),0)</f>
        <v>0</v>
      </c>
      <c r="H6" s="71">
        <f>IF(MIN(100000,C6-G6)+MIN(100000,D6)-100000&lt;0,0,MIN(100000,C6-G6)+MIN(100000,D6)-100000)</f>
        <v>0</v>
      </c>
      <c r="I6" s="73">
        <f>IF(入力!L40="",0,IF(入力!L40=")","年齢選択エラー",IF(入力!L40="","年齢選択エラー",(MAX(SUM(C6:E6)-H6-G6,0)))))</f>
        <v>0</v>
      </c>
      <c r="J6" s="65">
        <f>IF(入力!L40="",0,
   IF(D6+C6-G6&gt;0,1,
      IF(D6=0,
         IF(入力!AF40&gt;550000,1,0),
      0)
   )
)</f>
        <v>0</v>
      </c>
    </row>
    <row r="7" spans="1:11" ht="15.75" customHeight="1" x14ac:dyDescent="0.25">
      <c r="A7" s="11"/>
      <c r="B7" s="7"/>
      <c r="C7" s="8"/>
      <c r="D7" s="8"/>
      <c r="E7" s="8"/>
      <c r="F7" s="8"/>
      <c r="G7" s="8"/>
    </row>
    <row r="8" spans="1:11" ht="15.75" customHeight="1" x14ac:dyDescent="0.25">
      <c r="A8" s="22"/>
      <c r="B8" s="21" t="s">
        <v>44</v>
      </c>
      <c r="C8" s="20" t="s">
        <v>41</v>
      </c>
      <c r="D8" s="20" t="s">
        <v>42</v>
      </c>
      <c r="E8" s="20" t="s">
        <v>43</v>
      </c>
      <c r="F8" s="61" t="s">
        <v>80</v>
      </c>
      <c r="G8" s="65" t="s">
        <v>81</v>
      </c>
      <c r="H8" s="69" t="s">
        <v>94</v>
      </c>
      <c r="I8" s="69" t="s">
        <v>84</v>
      </c>
      <c r="J8" s="65" t="s">
        <v>88</v>
      </c>
    </row>
    <row r="9" spans="1:11" ht="15.75" customHeight="1" x14ac:dyDescent="0.25">
      <c r="A9" s="10" t="s">
        <v>40</v>
      </c>
      <c r="B9" s="12">
        <f>IF(ISBLANK(H47),0,入力!L45)</f>
        <v>0</v>
      </c>
      <c r="C9" s="31">
        <f>IF(入力!C45="",年金条件式!I6,0)</f>
        <v>0</v>
      </c>
      <c r="D9" s="28">
        <f>VLOOKUP(入力!AF45,'給与所得(改正後）'!$B$33:$C$39,2)</f>
        <v>0</v>
      </c>
      <c r="E9" s="28">
        <f>入力!AT45</f>
        <v>0</v>
      </c>
      <c r="F9" s="61">
        <f>IF(MIN(100000,C9)+MIN(100000,D9)-100000&lt;0,0,MIN(100000,C9)+MIN(100000,D9)-100000)</f>
        <v>0</v>
      </c>
      <c r="G9" s="63">
        <f>IF(入力!L45="65歳以上",MIN(150000,C9),0)</f>
        <v>0</v>
      </c>
      <c r="H9" s="71">
        <f>IF(MIN(100000,C9-G9)+MIN(100000,D9)-100000&lt;0,0,MIN(100000,C9-G9)+MIN(100000,D9)-100000)</f>
        <v>0</v>
      </c>
      <c r="I9" s="70">
        <f>IF(入力!L45="",0,IF(入力!L45="","年齢選択エラー",IF(入力!L45="","年齢選択エラー",(MAX(SUM(C9:E9)-H9-G9,0)))))</f>
        <v>0</v>
      </c>
      <c r="J9" s="65">
        <f>IF(入力!L40="",0,
   IF(D9+C9-G9&gt;0,1,
      IF(D9=0,
         IF(入力!AF40&gt;550000,1,0),
      0)
   )
)</f>
        <v>0</v>
      </c>
    </row>
    <row r="10" spans="1:11" ht="15.75" customHeight="1" x14ac:dyDescent="0.25">
      <c r="A10" s="13"/>
      <c r="B10" s="14"/>
      <c r="C10" s="9"/>
      <c r="D10" s="13"/>
      <c r="E10" s="8"/>
      <c r="F10" s="8"/>
    </row>
    <row r="11" spans="1:11" ht="15.75" customHeight="1" x14ac:dyDescent="0.25">
      <c r="F11" s="8"/>
      <c r="H11" s="65" t="s">
        <v>85</v>
      </c>
      <c r="I11" s="65" t="s">
        <v>86</v>
      </c>
    </row>
    <row r="12" spans="1:11" ht="15.75" customHeight="1" x14ac:dyDescent="0.25">
      <c r="A12" s="19"/>
      <c r="B12" s="20" t="s">
        <v>20</v>
      </c>
      <c r="F12" s="8"/>
      <c r="H12" s="66" t="str">
        <f>IF(OR(J2="年齢選択エラー",I5="年齢選択エラー",I6="年齢選択エラー",I9="年齢選択エラー"),"年齢選択エラー",J2+I5+I6+I9)</f>
        <v>年齢選択エラー</v>
      </c>
      <c r="I12" s="65" t="s">
        <v>89</v>
      </c>
    </row>
    <row r="13" spans="1:11" ht="15.75" customHeight="1" x14ac:dyDescent="0.25">
      <c r="A13" s="45">
        <v>0.72</v>
      </c>
      <c r="B13" s="46" t="s">
        <v>132</v>
      </c>
      <c r="F13" s="8"/>
    </row>
    <row r="14" spans="1:11" ht="15.75" customHeight="1" x14ac:dyDescent="0.25">
      <c r="A14" s="45">
        <v>0.77500000000000002</v>
      </c>
      <c r="B14" s="46" t="s">
        <v>132</v>
      </c>
      <c r="F14" s="8"/>
    </row>
    <row r="15" spans="1:11" ht="15.75" customHeight="1" x14ac:dyDescent="0.25">
      <c r="A15" s="45">
        <v>0.5</v>
      </c>
      <c r="B15" s="46" t="s">
        <v>51</v>
      </c>
      <c r="F15" s="8"/>
    </row>
    <row r="16" spans="1:11" ht="15.75" customHeight="1" x14ac:dyDescent="0.25">
      <c r="A16" s="45">
        <v>0.2</v>
      </c>
      <c r="B16" s="46" t="s">
        <v>52</v>
      </c>
      <c r="F16" s="8"/>
    </row>
    <row r="17" spans="1:6" ht="15.75" customHeight="1" x14ac:dyDescent="0.25">
      <c r="A17" s="45">
        <v>0</v>
      </c>
      <c r="B17" s="46" t="s">
        <v>53</v>
      </c>
      <c r="F17" s="8"/>
    </row>
    <row r="18" spans="1:6" ht="15.75" customHeight="1" x14ac:dyDescent="0.25">
      <c r="F18" s="8"/>
    </row>
    <row r="19" spans="1:6" ht="15.75" customHeight="1" x14ac:dyDescent="0.25">
      <c r="F19" s="8"/>
    </row>
    <row r="20" spans="1:6" ht="15.75" customHeight="1" x14ac:dyDescent="0.25">
      <c r="F20" s="8"/>
    </row>
    <row r="21" spans="1:6" ht="15.75" customHeight="1" x14ac:dyDescent="0.25">
      <c r="F21" s="8"/>
    </row>
    <row r="22" spans="1:6" ht="15.75" customHeight="1" x14ac:dyDescent="0.25">
      <c r="F22" s="8"/>
    </row>
    <row r="23" spans="1:6" ht="15.75" customHeight="1" x14ac:dyDescent="0.25">
      <c r="F23" s="8"/>
    </row>
    <row r="24" spans="1:6" ht="15.75" customHeight="1" x14ac:dyDescent="0.25">
      <c r="F24" s="8"/>
    </row>
    <row r="25" spans="1:6" ht="15.75" customHeight="1" x14ac:dyDescent="0.25">
      <c r="F25" s="8"/>
    </row>
    <row r="26" spans="1:6" ht="15.75" customHeight="1" x14ac:dyDescent="0.25">
      <c r="F26" s="8"/>
    </row>
    <row r="27" spans="1:6" ht="15.75" customHeight="1" x14ac:dyDescent="0.25">
      <c r="F27" s="8"/>
    </row>
    <row r="28" spans="1:6" ht="15.75" customHeight="1" x14ac:dyDescent="0.25">
      <c r="F28" s="8"/>
    </row>
    <row r="29" spans="1:6" ht="15.75" customHeight="1" x14ac:dyDescent="0.25">
      <c r="F29" s="8"/>
    </row>
  </sheetData>
  <phoneticPr fontId="3"/>
  <pageMargins left="0.11811023622047245" right="0.11811023622047245" top="0.74803149606299213" bottom="0.47244094488188981" header="0.31496062992125984" footer="0.31496062992125984"/>
  <pageSetup paperSize="9" scale="65" fitToHeight="0" orientation="landscape" r:id="rId1"/>
  <headerFooter>
    <oddHeader>&amp;C&amp;14&amp;A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134661-C8CD-4A15-A6BE-70DE9553C0C6}">
  <sheetPr codeName="Sheet6">
    <tabColor rgb="FFFF3399"/>
  </sheetPr>
  <dimension ref="A1:K29"/>
  <sheetViews>
    <sheetView zoomScale="85" zoomScaleNormal="85" workbookViewId="0">
      <selection activeCell="E14" sqref="E14"/>
    </sheetView>
  </sheetViews>
  <sheetFormatPr defaultRowHeight="12" x14ac:dyDescent="0.25"/>
  <cols>
    <col min="1" max="2" width="16.875" style="1" bestFit="1" customWidth="1"/>
    <col min="3" max="5" width="14.375" style="1" customWidth="1"/>
    <col min="6" max="6" width="20.75" style="1" bestFit="1" customWidth="1"/>
    <col min="7" max="7" width="15.5" style="1" bestFit="1" customWidth="1"/>
    <col min="8" max="9" width="26.875" style="1" bestFit="1" customWidth="1"/>
    <col min="10" max="11" width="15.25" style="1" bestFit="1" customWidth="1"/>
    <col min="12" max="16384" width="9" style="1"/>
  </cols>
  <sheetData>
    <row r="1" spans="1:11" ht="15.75" customHeight="1" x14ac:dyDescent="0.25">
      <c r="A1" s="16"/>
      <c r="B1" s="17" t="s">
        <v>27</v>
      </c>
      <c r="C1" s="18" t="s">
        <v>22</v>
      </c>
      <c r="D1" s="20" t="s">
        <v>41</v>
      </c>
      <c r="E1" s="20" t="s">
        <v>5</v>
      </c>
      <c r="F1" s="20" t="s">
        <v>43</v>
      </c>
      <c r="G1" s="65" t="s">
        <v>80</v>
      </c>
      <c r="H1" s="65" t="s">
        <v>81</v>
      </c>
      <c r="I1" s="69" t="s">
        <v>94</v>
      </c>
      <c r="J1" s="69" t="s">
        <v>82</v>
      </c>
      <c r="K1" s="65" t="s">
        <v>88</v>
      </c>
    </row>
    <row r="2" spans="1:11" ht="15.75" customHeight="1" x14ac:dyDescent="0.25">
      <c r="A2" s="3" t="s">
        <v>35</v>
      </c>
      <c r="B2" s="54" t="str">
        <f>IF(OR(入力!C30="選択してください",ISBLANK(入力!C30)),"資格取得月入力エラー",入力!C30)</f>
        <v>資格取得月入力エラー</v>
      </c>
      <c r="C2" s="54" t="str">
        <f>IF(B2="資格取得月入力エラー","資格取得月入力エラー",VLOOKUP(B2,資格取得月!$A$3:$B$15,2,0))</f>
        <v>資格取得月入力エラー</v>
      </c>
      <c r="D2" s="28">
        <f>年金条件式!I3</f>
        <v>0</v>
      </c>
      <c r="E2" s="29">
        <f>VLOOKUP(入力!AF30,'給与所得(改正後）'!$B$3:$C$9,2)</f>
        <v>0</v>
      </c>
      <c r="F2" s="29">
        <f>入力!AT30</f>
        <v>0</v>
      </c>
      <c r="G2" s="65">
        <f>IF(MIN(100000,D2)+MIN(100000,E2)-100000&lt;0,0,MIN(100000,D2)+MIN(100000,E2)-100000)</f>
        <v>0</v>
      </c>
      <c r="H2" s="66">
        <f>IF(入力!L30="65歳以上",MIN(150000,D2),0)</f>
        <v>0</v>
      </c>
      <c r="I2" s="70">
        <f>IF(MIN(100000,D2-H2)+MIN(100000,E2)-100000&lt;0,0,MIN(100000,D2-H2)+MIN(100000,E2)-100000)</f>
        <v>0</v>
      </c>
      <c r="J2" s="70" t="str">
        <f>IF(入力!C30="",0,IF(入力!L30="選択してください","年齢選択エラー",IF(入力!L30="","年齢選択エラー",(MAX(SUM(D2-H2+E2-I2+F2),0)))))</f>
        <v>年齢選択エラー</v>
      </c>
      <c r="K2" s="65" t="str">
        <f>IF(入力!C30="",0,
   IF(入力!L30="選択してください","年齢選択エラー",
      IF(入力!L30="","年齢選択エラー",
         IF(E2+D2-H2&gt;0,1,
            IF(E2&gt;0,0,
               IF(入力!AF30&gt;550000,1,0)
            )
         )
      )
   )
)</f>
        <v>年齢選択エラー</v>
      </c>
    </row>
    <row r="3" spans="1:11" ht="15.75" customHeight="1" x14ac:dyDescent="0.25">
      <c r="A3" s="6"/>
      <c r="B3" s="7"/>
      <c r="C3" s="7"/>
      <c r="D3" s="8"/>
      <c r="E3" s="9"/>
      <c r="F3" s="9"/>
    </row>
    <row r="4" spans="1:11" ht="15.75" customHeight="1" x14ac:dyDescent="0.25">
      <c r="A4" s="16"/>
      <c r="B4" s="21" t="s">
        <v>123</v>
      </c>
      <c r="C4" s="20" t="s">
        <v>41</v>
      </c>
      <c r="D4" s="20" t="s">
        <v>5</v>
      </c>
      <c r="E4" s="20" t="s">
        <v>43</v>
      </c>
      <c r="F4" s="62" t="s">
        <v>80</v>
      </c>
      <c r="G4" s="65" t="s">
        <v>81</v>
      </c>
      <c r="H4" s="69" t="s">
        <v>94</v>
      </c>
      <c r="I4" s="69" t="s">
        <v>83</v>
      </c>
      <c r="J4" s="65" t="s">
        <v>88</v>
      </c>
    </row>
    <row r="5" spans="1:11" ht="15.75" customHeight="1" x14ac:dyDescent="0.25">
      <c r="A5" s="3" t="s">
        <v>38</v>
      </c>
      <c r="B5" s="5">
        <f>IF(COUNTA(入力!S35,入力!AF35,入力!AT35)&gt;0, 1, 0)</f>
        <v>0</v>
      </c>
      <c r="C5" s="27">
        <f>IF(入力!C35="",年金条件式!I4,0)</f>
        <v>0</v>
      </c>
      <c r="D5" s="28">
        <f>VLOOKUP(入力!AF35,'給与所得(改正後）'!$B$13:$C$19,2)</f>
        <v>0</v>
      </c>
      <c r="E5" s="29">
        <f>入力!AT35</f>
        <v>0</v>
      </c>
      <c r="F5" s="63">
        <f>IF(MIN(100000,C5)+MIN(100000,D5)-100000&lt;0,0,MIN(100000,C5)+MIN(100000,D5)-100000)</f>
        <v>0</v>
      </c>
      <c r="G5" s="63">
        <f>IF(入力!L35="65歳以上",MIN(150000,C5),0)</f>
        <v>0</v>
      </c>
      <c r="H5" s="71">
        <f>IF(MIN(100000,C5-G5)+MIN(100000,D5)-100000&lt;0,0,MIN(100000,C5-G5)+MIN(100000,D5)-100000)</f>
        <v>0</v>
      </c>
      <c r="I5" s="70">
        <f>IF(入力!L35="",0,IF(入力!L35="","年齢選択エラー",IF(入力!L35="","年齢選択エラー",(MAX(SUM(C5:E5)-H5-G5,0)))))</f>
        <v>0</v>
      </c>
      <c r="J5" s="65">
        <f>IF(入力!L35="",0,
   IF(D5+C5-G5&gt;0,1,
      IF(D5=0,
         IF(入力!AF35&gt;550000,1,0),
      0)
   )
)</f>
        <v>0</v>
      </c>
    </row>
    <row r="6" spans="1:11" ht="15.75" customHeight="1" x14ac:dyDescent="0.25">
      <c r="A6" s="10" t="s">
        <v>39</v>
      </c>
      <c r="B6" s="5">
        <f>IF(COUNTA(入力!S40,入力!AF40,入力!AT40)&gt;0, 1, 0)</f>
        <v>0</v>
      </c>
      <c r="C6" s="27">
        <f>IF(入力!C40="",年金条件式!I5,0)</f>
        <v>0</v>
      </c>
      <c r="D6" s="28">
        <f>VLOOKUP(入力!AF40,'給与所得(改正後）'!$B$23:$C$29,2)</f>
        <v>0</v>
      </c>
      <c r="E6" s="28">
        <f>入力!AT40</f>
        <v>0</v>
      </c>
      <c r="F6" s="64">
        <f>IF(MIN(100000,C6)+MIN(100000,D6)-100000&lt;0,0,MIN(100000,C6)+MIN(100000,D6)-100000)</f>
        <v>0</v>
      </c>
      <c r="G6" s="63">
        <f>IF(入力!L40="65歳以上",MIN(150000,C6),0)</f>
        <v>0</v>
      </c>
      <c r="H6" s="71">
        <f>IF(MIN(100000,C6-G6)+MIN(100000,D6)-100000&lt;0,0,MIN(100000,C6-G6)+MIN(100000,D6)-100000)</f>
        <v>0</v>
      </c>
      <c r="I6" s="73">
        <f>IF(入力!CL40="",0,IF(入力!L40="","年齢選択エラー",IF(入力!L40="","年齢選択エラー",(MAX(SUM(C6:E6)-H6-G6,0)))))</f>
        <v>0</v>
      </c>
      <c r="J6" s="65">
        <f>IF(入力!L40="",0,
   IF(D6+C6-G6&gt;0,1,
      IF(D6=0,
         IF(入力!AF40&gt;550000,1,0),
      0)
   )
)</f>
        <v>0</v>
      </c>
    </row>
    <row r="7" spans="1:11" ht="15.75" customHeight="1" x14ac:dyDescent="0.25">
      <c r="A7" s="11"/>
      <c r="B7" s="7"/>
      <c r="C7" s="8"/>
      <c r="D7" s="8"/>
      <c r="E7" s="8"/>
      <c r="F7" s="8"/>
      <c r="G7" s="8"/>
    </row>
    <row r="8" spans="1:11" ht="15.75" customHeight="1" x14ac:dyDescent="0.25">
      <c r="A8" s="22"/>
      <c r="B8" s="21" t="s">
        <v>44</v>
      </c>
      <c r="C8" s="20" t="s">
        <v>41</v>
      </c>
      <c r="D8" s="20" t="s">
        <v>5</v>
      </c>
      <c r="E8" s="20" t="s">
        <v>43</v>
      </c>
      <c r="F8" s="61" t="s">
        <v>80</v>
      </c>
      <c r="G8" s="65" t="s">
        <v>81</v>
      </c>
      <c r="H8" s="69" t="s">
        <v>94</v>
      </c>
      <c r="I8" s="69" t="s">
        <v>84</v>
      </c>
      <c r="J8" s="65" t="s">
        <v>88</v>
      </c>
    </row>
    <row r="9" spans="1:11" ht="15.75" customHeight="1" x14ac:dyDescent="0.25">
      <c r="A9" s="10" t="s">
        <v>3</v>
      </c>
      <c r="B9" s="12">
        <f>IF(ISBLANK(H47),0,入力!L45)</f>
        <v>0</v>
      </c>
      <c r="C9" s="31">
        <f>IF(入力!C45="",年金条件式!I6,0)</f>
        <v>0</v>
      </c>
      <c r="D9" s="28">
        <f>VLOOKUP(入力!AF45,'給与所得(改正後）'!$B$33:$C$39,2)</f>
        <v>0</v>
      </c>
      <c r="E9" s="28">
        <f>入力!AT45</f>
        <v>0</v>
      </c>
      <c r="F9" s="61">
        <f>IF(MIN(100000,C9)+MIN(100000,D9)-100000&lt;0,0,MIN(100000,C9)+MIN(100000,D9)-100000)</f>
        <v>0</v>
      </c>
      <c r="G9" s="63">
        <f>IF(入力!L45="65歳以上",MIN(150000,C9),0)</f>
        <v>0</v>
      </c>
      <c r="H9" s="71">
        <f>IF(MIN(100000,C9-G9)+MIN(100000,D9)-100000&lt;0,0,MIN(100000,C9-G9)+MIN(100000,D9)-100000)</f>
        <v>0</v>
      </c>
      <c r="I9" s="70">
        <f>IF(入力!L45="",0,IF(入力!L45="","年齢選択エラー",IF(入力!L45="","年齢選択エラー",(MAX(SUM(C9:E9)-H9-G9,0)))))</f>
        <v>0</v>
      </c>
      <c r="J9" s="65">
        <f>IF(入力!L45="",0,
   IF(D9+C9-G9&gt;0,1,
      IF(D9=0,
         IF(入力!AF45&gt;550000,1,0),
      0)
   )
)</f>
        <v>0</v>
      </c>
    </row>
    <row r="10" spans="1:11" ht="15.75" customHeight="1" x14ac:dyDescent="0.25">
      <c r="A10" s="13"/>
      <c r="B10" s="14"/>
      <c r="C10" s="9"/>
      <c r="D10" s="13"/>
      <c r="E10" s="8"/>
      <c r="F10" s="8"/>
    </row>
    <row r="11" spans="1:11" ht="15.75" customHeight="1" x14ac:dyDescent="0.25">
      <c r="F11" s="8"/>
      <c r="H11" s="65" t="s">
        <v>85</v>
      </c>
      <c r="I11" s="65" t="s">
        <v>86</v>
      </c>
    </row>
    <row r="12" spans="1:11" ht="15.75" customHeight="1" x14ac:dyDescent="0.25">
      <c r="A12" s="19"/>
      <c r="B12" s="20" t="s">
        <v>20</v>
      </c>
      <c r="F12" s="8"/>
      <c r="H12" s="66" t="str">
        <f>IF(OR(J2="年齢選択エラー",I5="年齢選択エラー",I6="年齢選択エラー",I9="年齢選択エラー"),"年齢選択エラー",J2+I5+I6+I9)</f>
        <v>年齢選択エラー</v>
      </c>
      <c r="I12" s="65" t="s">
        <v>89</v>
      </c>
    </row>
    <row r="13" spans="1:11" ht="15.75" customHeight="1" x14ac:dyDescent="0.25">
      <c r="A13" s="45">
        <v>0.7</v>
      </c>
      <c r="B13" s="46" t="s">
        <v>50</v>
      </c>
      <c r="F13" s="8"/>
    </row>
    <row r="14" spans="1:11" ht="15.75" customHeight="1" x14ac:dyDescent="0.25">
      <c r="A14" s="45">
        <v>0.77500000000000002</v>
      </c>
      <c r="B14" s="46" t="s">
        <v>50</v>
      </c>
      <c r="F14" s="8"/>
    </row>
    <row r="15" spans="1:11" ht="15.75" customHeight="1" x14ac:dyDescent="0.25">
      <c r="A15" s="45">
        <v>0.5</v>
      </c>
      <c r="B15" s="46" t="s">
        <v>51</v>
      </c>
      <c r="F15" s="8"/>
    </row>
    <row r="16" spans="1:11" ht="15.75" customHeight="1" x14ac:dyDescent="0.25">
      <c r="A16" s="45">
        <v>0.2</v>
      </c>
      <c r="B16" s="46" t="s">
        <v>52</v>
      </c>
      <c r="F16" s="8"/>
    </row>
    <row r="17" spans="1:6" ht="15.75" customHeight="1" x14ac:dyDescent="0.25">
      <c r="A17" s="45">
        <v>0</v>
      </c>
      <c r="B17" s="46" t="s">
        <v>53</v>
      </c>
      <c r="F17" s="8"/>
    </row>
    <row r="18" spans="1:6" ht="15.75" customHeight="1" x14ac:dyDescent="0.25">
      <c r="F18" s="8"/>
    </row>
    <row r="19" spans="1:6" ht="15.75" customHeight="1" x14ac:dyDescent="0.25">
      <c r="F19" s="8"/>
    </row>
    <row r="20" spans="1:6" ht="15.75" customHeight="1" x14ac:dyDescent="0.25">
      <c r="F20" s="8"/>
    </row>
    <row r="21" spans="1:6" ht="15.75" customHeight="1" x14ac:dyDescent="0.25">
      <c r="F21" s="8"/>
    </row>
    <row r="22" spans="1:6" ht="15.75" customHeight="1" x14ac:dyDescent="0.25">
      <c r="F22" s="8"/>
    </row>
    <row r="23" spans="1:6" ht="15.75" customHeight="1" x14ac:dyDescent="0.25">
      <c r="F23" s="8"/>
    </row>
    <row r="24" spans="1:6" ht="15.75" customHeight="1" x14ac:dyDescent="0.25">
      <c r="F24" s="8"/>
    </row>
    <row r="25" spans="1:6" ht="15.75" customHeight="1" x14ac:dyDescent="0.25">
      <c r="F25" s="8"/>
    </row>
    <row r="26" spans="1:6" ht="15.75" customHeight="1" x14ac:dyDescent="0.25">
      <c r="F26" s="8"/>
    </row>
    <row r="27" spans="1:6" ht="15.75" customHeight="1" x14ac:dyDescent="0.25">
      <c r="F27" s="8"/>
    </row>
    <row r="28" spans="1:6" ht="15.75" customHeight="1" x14ac:dyDescent="0.25">
      <c r="F28" s="8"/>
    </row>
    <row r="29" spans="1:6" ht="15.75" customHeight="1" x14ac:dyDescent="0.25">
      <c r="F29" s="8"/>
    </row>
  </sheetData>
  <phoneticPr fontId="3"/>
  <pageMargins left="0.11811023622047245" right="0.11811023622047245" top="0.74803149606299213" bottom="0.47244094488188981" header="0.31496062992125984" footer="0.31496062992125984"/>
  <pageSetup paperSize="9" scale="65" fitToHeight="0" orientation="landscape" r:id="rId1"/>
  <headerFooter>
    <oddHeader>&amp;C&amp;14&amp;A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>
    <tabColor rgb="FFFF5050"/>
    <pageSetUpPr fitToPage="1"/>
  </sheetPr>
  <dimension ref="A1:E39"/>
  <sheetViews>
    <sheetView zoomScale="85" zoomScaleNormal="85" workbookViewId="0">
      <selection activeCell="C5" sqref="C5"/>
    </sheetView>
  </sheetViews>
  <sheetFormatPr defaultRowHeight="14.25" x14ac:dyDescent="0.25"/>
  <cols>
    <col min="1" max="1" width="3.75" customWidth="1"/>
    <col min="2" max="3" width="13.875" customWidth="1"/>
  </cols>
  <sheetData>
    <row r="1" spans="1:5" s="8" customFormat="1" ht="15.75" customHeight="1" x14ac:dyDescent="0.25">
      <c r="A1" s="244" t="s">
        <v>36</v>
      </c>
      <c r="B1" s="245" t="s">
        <v>115</v>
      </c>
      <c r="C1" s="246"/>
    </row>
    <row r="2" spans="1:5" s="8" customFormat="1" ht="15.75" customHeight="1" x14ac:dyDescent="0.25">
      <c r="A2" s="244"/>
      <c r="B2" s="25" t="s">
        <v>4</v>
      </c>
      <c r="C2" s="20" t="s">
        <v>5</v>
      </c>
    </row>
    <row r="3" spans="1:5" s="8" customFormat="1" ht="15.75" customHeight="1" x14ac:dyDescent="0.25">
      <c r="A3" s="244"/>
      <c r="B3" s="26">
        <v>0</v>
      </c>
      <c r="C3" s="15">
        <v>0</v>
      </c>
      <c r="E3" s="8" t="s">
        <v>67</v>
      </c>
    </row>
    <row r="4" spans="1:5" s="8" customFormat="1" ht="15.75" customHeight="1" x14ac:dyDescent="0.25">
      <c r="A4" s="244"/>
      <c r="B4" s="26">
        <v>651000</v>
      </c>
      <c r="C4" s="15">
        <f>入力!AF30-650000</f>
        <v>-650000</v>
      </c>
    </row>
    <row r="5" spans="1:5" s="8" customFormat="1" ht="15.75" customHeight="1" x14ac:dyDescent="0.25">
      <c r="A5" s="244"/>
      <c r="B5" s="26">
        <v>1900000</v>
      </c>
      <c r="C5" s="15">
        <f>ROUNDDOWN(ROUNDDOWN(入力!AF30/4,-3)*2.8,0)-80000</f>
        <v>-80000</v>
      </c>
    </row>
    <row r="6" spans="1:5" s="8" customFormat="1" ht="15.75" customHeight="1" x14ac:dyDescent="0.25">
      <c r="A6" s="244"/>
      <c r="B6" s="26">
        <v>3600000</v>
      </c>
      <c r="C6" s="15">
        <f>ROUNDDOWN(ROUNDDOWN(入力!AF30/4,-3)*3.2,0)-440000</f>
        <v>-440000</v>
      </c>
    </row>
    <row r="7" spans="1:5" s="8" customFormat="1" ht="15.75" customHeight="1" x14ac:dyDescent="0.25">
      <c r="A7" s="244"/>
      <c r="B7" s="26">
        <v>6600000</v>
      </c>
      <c r="C7" s="15">
        <f>ROUNDDOWN(入力!AF30*0.9,0)-1100000</f>
        <v>-1100000</v>
      </c>
    </row>
    <row r="8" spans="1:5" s="8" customFormat="1" ht="15.75" customHeight="1" x14ac:dyDescent="0.25">
      <c r="A8" s="247"/>
      <c r="B8" s="26">
        <v>8500000</v>
      </c>
      <c r="C8" s="15">
        <v>6550000</v>
      </c>
    </row>
    <row r="9" spans="1:5" s="8" customFormat="1" ht="15.75" customHeight="1" x14ac:dyDescent="0.25">
      <c r="A9" s="57"/>
      <c r="B9" s="26">
        <v>8500001</v>
      </c>
      <c r="C9" s="15">
        <f>入力!AF30-1950000</f>
        <v>-1950000</v>
      </c>
    </row>
    <row r="11" spans="1:5" s="8" customFormat="1" ht="15.75" customHeight="1" x14ac:dyDescent="0.25">
      <c r="A11" s="244" t="s">
        <v>45</v>
      </c>
      <c r="B11" s="245" t="s">
        <v>115</v>
      </c>
      <c r="C11" s="246"/>
    </row>
    <row r="12" spans="1:5" s="8" customFormat="1" ht="15.75" customHeight="1" x14ac:dyDescent="0.25">
      <c r="A12" s="244"/>
      <c r="B12" s="25" t="s">
        <v>68</v>
      </c>
      <c r="C12" s="20" t="s">
        <v>69</v>
      </c>
    </row>
    <row r="13" spans="1:5" s="8" customFormat="1" ht="15.75" customHeight="1" x14ac:dyDescent="0.25">
      <c r="A13" s="244"/>
      <c r="B13" s="26">
        <v>0</v>
      </c>
      <c r="C13" s="15">
        <v>0</v>
      </c>
      <c r="E13" s="8" t="s">
        <v>66</v>
      </c>
    </row>
    <row r="14" spans="1:5" s="8" customFormat="1" ht="15.75" customHeight="1" x14ac:dyDescent="0.25">
      <c r="A14" s="244"/>
      <c r="B14" s="26">
        <v>651000</v>
      </c>
      <c r="C14" s="15">
        <f>入力!AF35-650000</f>
        <v>-650000</v>
      </c>
    </row>
    <row r="15" spans="1:5" s="8" customFormat="1" ht="15.75" customHeight="1" x14ac:dyDescent="0.25">
      <c r="A15" s="244"/>
      <c r="B15" s="26">
        <v>1900000</v>
      </c>
      <c r="C15" s="15">
        <f>ROUNDDOWN(ROUNDDOWN(入力!AF35/4,-3)*2.8,0)-80000</f>
        <v>-80000</v>
      </c>
    </row>
    <row r="16" spans="1:5" s="8" customFormat="1" ht="15.75" customHeight="1" x14ac:dyDescent="0.25">
      <c r="A16" s="244"/>
      <c r="B16" s="26">
        <v>3600000</v>
      </c>
      <c r="C16" s="15">
        <f>ROUNDDOWN(ROUNDDOWN(入力!AF35/4,-3)*3.2,0)-440000</f>
        <v>-440000</v>
      </c>
    </row>
    <row r="17" spans="1:5" s="8" customFormat="1" ht="15.75" customHeight="1" x14ac:dyDescent="0.25">
      <c r="A17" s="244"/>
      <c r="B17" s="26">
        <v>6600000</v>
      </c>
      <c r="C17" s="15">
        <f>ROUNDDOWN(入力!AF35*0.9,0)-1100000</f>
        <v>-1100000</v>
      </c>
    </row>
    <row r="18" spans="1:5" s="8" customFormat="1" ht="15.75" customHeight="1" x14ac:dyDescent="0.25">
      <c r="A18" s="244"/>
      <c r="B18" s="26">
        <v>8500000</v>
      </c>
      <c r="C18" s="15">
        <v>6550000</v>
      </c>
    </row>
    <row r="19" spans="1:5" s="8" customFormat="1" ht="15.75" customHeight="1" x14ac:dyDescent="0.25">
      <c r="A19" s="244"/>
      <c r="B19" s="26">
        <v>8500001</v>
      </c>
      <c r="C19" s="15">
        <f>入力!AF35-1950000</f>
        <v>-1950000</v>
      </c>
    </row>
    <row r="21" spans="1:5" s="8" customFormat="1" ht="15.75" customHeight="1" x14ac:dyDescent="0.25">
      <c r="A21" s="244" t="s">
        <v>46</v>
      </c>
      <c r="B21" s="245" t="s">
        <v>115</v>
      </c>
      <c r="C21" s="246"/>
      <c r="E21" s="8" t="s">
        <v>70</v>
      </c>
    </row>
    <row r="22" spans="1:5" s="8" customFormat="1" ht="15.75" customHeight="1" x14ac:dyDescent="0.25">
      <c r="A22" s="244"/>
      <c r="B22" s="25" t="s">
        <v>68</v>
      </c>
      <c r="C22" s="20" t="s">
        <v>69</v>
      </c>
    </row>
    <row r="23" spans="1:5" s="8" customFormat="1" ht="15.75" customHeight="1" x14ac:dyDescent="0.25">
      <c r="A23" s="244"/>
      <c r="B23" s="26">
        <v>0</v>
      </c>
      <c r="C23" s="15">
        <v>0</v>
      </c>
    </row>
    <row r="24" spans="1:5" s="8" customFormat="1" ht="15.75" customHeight="1" x14ac:dyDescent="0.25">
      <c r="A24" s="244"/>
      <c r="B24" s="26">
        <v>651000</v>
      </c>
      <c r="C24" s="15">
        <f>入力!AF40-650000</f>
        <v>-650000</v>
      </c>
    </row>
    <row r="25" spans="1:5" s="8" customFormat="1" ht="15.75" customHeight="1" x14ac:dyDescent="0.25">
      <c r="A25" s="244"/>
      <c r="B25" s="26">
        <v>1900000</v>
      </c>
      <c r="C25" s="15">
        <f>ROUNDDOWN(ROUNDDOWN(入力!AF40/4,-3)*2.8,0)-80000</f>
        <v>-80000</v>
      </c>
    </row>
    <row r="26" spans="1:5" s="8" customFormat="1" ht="15.75" customHeight="1" x14ac:dyDescent="0.25">
      <c r="A26" s="244"/>
      <c r="B26" s="26">
        <v>3600000</v>
      </c>
      <c r="C26" s="15">
        <f>ROUNDDOWN(ROUNDDOWN(入力!AF40/4,-3)*3.2,0)-440000</f>
        <v>-440000</v>
      </c>
    </row>
    <row r="27" spans="1:5" s="8" customFormat="1" ht="15.75" customHeight="1" x14ac:dyDescent="0.25">
      <c r="A27" s="244"/>
      <c r="B27" s="26">
        <v>6600000</v>
      </c>
      <c r="C27" s="15">
        <f>ROUNDDOWN(入力!AF40*0.9,0)-1100000</f>
        <v>-1100000</v>
      </c>
    </row>
    <row r="28" spans="1:5" s="8" customFormat="1" ht="15.75" customHeight="1" x14ac:dyDescent="0.25">
      <c r="A28" s="244"/>
      <c r="B28" s="26">
        <v>8500000</v>
      </c>
      <c r="C28" s="15">
        <v>6550000</v>
      </c>
    </row>
    <row r="29" spans="1:5" s="8" customFormat="1" ht="15.75" customHeight="1" x14ac:dyDescent="0.25">
      <c r="A29" s="244"/>
      <c r="B29" s="26">
        <v>8500001</v>
      </c>
      <c r="C29" s="15">
        <f>入力!AF40-1950000</f>
        <v>-1950000</v>
      </c>
    </row>
    <row r="31" spans="1:5" s="8" customFormat="1" ht="15.75" customHeight="1" x14ac:dyDescent="0.25">
      <c r="A31" s="244" t="s">
        <v>0</v>
      </c>
      <c r="B31" s="245" t="s">
        <v>96</v>
      </c>
      <c r="C31" s="246"/>
      <c r="E31" s="8" t="s">
        <v>71</v>
      </c>
    </row>
    <row r="32" spans="1:5" s="8" customFormat="1" ht="15.75" customHeight="1" x14ac:dyDescent="0.25">
      <c r="A32" s="244"/>
      <c r="B32" s="25" t="s">
        <v>68</v>
      </c>
      <c r="C32" s="20" t="s">
        <v>69</v>
      </c>
    </row>
    <row r="33" spans="1:3" s="8" customFormat="1" ht="15.75" customHeight="1" x14ac:dyDescent="0.25">
      <c r="A33" s="244"/>
      <c r="B33" s="26">
        <v>0</v>
      </c>
      <c r="C33" s="15">
        <v>0</v>
      </c>
    </row>
    <row r="34" spans="1:3" s="8" customFormat="1" ht="15.75" customHeight="1" x14ac:dyDescent="0.25">
      <c r="A34" s="244"/>
      <c r="B34" s="26">
        <v>651000</v>
      </c>
      <c r="C34" s="15">
        <f>入力!AF45-650000</f>
        <v>-650000</v>
      </c>
    </row>
    <row r="35" spans="1:3" s="8" customFormat="1" ht="15.75" customHeight="1" x14ac:dyDescent="0.25">
      <c r="A35" s="244"/>
      <c r="B35" s="26">
        <v>1900000</v>
      </c>
      <c r="C35" s="15">
        <f>ROUNDDOWN(ROUNDDOWN(入力!AF45/4,-3)*2.8,0)-80000</f>
        <v>-80000</v>
      </c>
    </row>
    <row r="36" spans="1:3" s="8" customFormat="1" ht="15.75" customHeight="1" x14ac:dyDescent="0.25">
      <c r="A36" s="244"/>
      <c r="B36" s="26">
        <v>3600000</v>
      </c>
      <c r="C36" s="15">
        <f>ROUNDDOWN(ROUNDDOWN(入力!AF45/4,-3)*3.2,0)-440000</f>
        <v>-440000</v>
      </c>
    </row>
    <row r="37" spans="1:3" s="8" customFormat="1" ht="15.75" customHeight="1" x14ac:dyDescent="0.25">
      <c r="A37" s="244"/>
      <c r="B37" s="26">
        <v>6600000</v>
      </c>
      <c r="C37" s="15">
        <f>ROUNDDOWN(入力!AF45*0.9,0)-1100000</f>
        <v>-1100000</v>
      </c>
    </row>
    <row r="38" spans="1:3" s="8" customFormat="1" ht="15.75" customHeight="1" x14ac:dyDescent="0.25">
      <c r="A38" s="244"/>
      <c r="B38" s="26">
        <v>8500000</v>
      </c>
      <c r="C38" s="15">
        <v>6550000</v>
      </c>
    </row>
    <row r="39" spans="1:3" s="8" customFormat="1" ht="15.75" customHeight="1" x14ac:dyDescent="0.25">
      <c r="A39" s="244"/>
      <c r="B39" s="26">
        <v>8500001</v>
      </c>
      <c r="C39" s="15">
        <f>入力!AF45-1950000</f>
        <v>-1950000</v>
      </c>
    </row>
  </sheetData>
  <mergeCells count="8">
    <mergeCell ref="A21:A29"/>
    <mergeCell ref="B21:C21"/>
    <mergeCell ref="A31:A39"/>
    <mergeCell ref="B31:C31"/>
    <mergeCell ref="A1:A8"/>
    <mergeCell ref="B1:C1"/>
    <mergeCell ref="A11:A19"/>
    <mergeCell ref="B11:C11"/>
  </mergeCells>
  <phoneticPr fontId="3"/>
  <pageMargins left="0.70866141732283472" right="0.70866141732283472" top="0.74803149606299213" bottom="0.74803149606299213" header="0.31496062992125984" footer="0.31496062992125984"/>
  <pageSetup paperSize="9" scale="80" fitToWidth="0" orientation="portrait" r:id="rId1"/>
  <headerFooter>
    <oddHeader>&amp;C&amp;14&amp;A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tabColor rgb="FF66FFFF"/>
    <pageSetUpPr fitToPage="1"/>
  </sheetPr>
  <dimension ref="B1:M41"/>
  <sheetViews>
    <sheetView view="pageBreakPreview" zoomScaleNormal="85" zoomScaleSheetLayoutView="100" workbookViewId="0">
      <selection activeCell="I7" sqref="I7"/>
    </sheetView>
  </sheetViews>
  <sheetFormatPr defaultRowHeight="14.25" x14ac:dyDescent="0.25"/>
  <cols>
    <col min="3" max="5" width="20.5" customWidth="1"/>
    <col min="6" max="6" width="20.625" bestFit="1" customWidth="1"/>
    <col min="7" max="7" width="13.125" bestFit="1" customWidth="1"/>
    <col min="8" max="8" width="5.375" customWidth="1"/>
    <col min="9" max="9" width="17.25" customWidth="1"/>
    <col min="10" max="10" width="20.125" bestFit="1" customWidth="1"/>
    <col min="11" max="11" width="13.125" bestFit="1" customWidth="1"/>
    <col min="12" max="12" width="26.875" bestFit="1" customWidth="1"/>
    <col min="13" max="13" width="20.625" bestFit="1" customWidth="1"/>
  </cols>
  <sheetData>
    <row r="1" spans="2:13" x14ac:dyDescent="0.25">
      <c r="C1" t="s">
        <v>72</v>
      </c>
    </row>
    <row r="2" spans="2:13" x14ac:dyDescent="0.25">
      <c r="B2" s="58"/>
      <c r="C2" s="59" t="s">
        <v>92</v>
      </c>
      <c r="D2" s="58" t="s">
        <v>93</v>
      </c>
      <c r="E2" s="58" t="s">
        <v>74</v>
      </c>
      <c r="F2" s="58" t="s">
        <v>73</v>
      </c>
      <c r="I2" s="58" t="s">
        <v>75</v>
      </c>
    </row>
    <row r="3" spans="2:13" x14ac:dyDescent="0.25">
      <c r="B3" s="58" t="s">
        <v>35</v>
      </c>
      <c r="C3" s="58">
        <f>IF(SUM('設定1(医療分)'!E2:F2)&gt;=10000000,1,0)</f>
        <v>0</v>
      </c>
      <c r="D3" s="58">
        <f>IF(SUM('設定1(医療分)'!E2:F2)&gt;=20000000,1,0)</f>
        <v>0</v>
      </c>
      <c r="E3" s="58">
        <f>IF(入力!L30="65歳以上",10,0)</f>
        <v>0</v>
      </c>
      <c r="F3" s="58">
        <f>SUM(C3:E3)</f>
        <v>0</v>
      </c>
      <c r="G3" t="s">
        <v>79</v>
      </c>
      <c r="I3" s="58">
        <f>IF(F3=10,VLOOKUP(入力!$S$30,$C$12:$F$16,2),IF(F3=11,VLOOKUP(入力!$S$30,$C$12:$F$16,3),IF(F3=12,VLOOKUP(入力!$S$30,$C$12:$F$16,4),IF(F3=0,VLOOKUP(入力!$S$30,J12:M16,2),IF(F3=1,VLOOKUP(入力!$S$30,J12:M16,3),IF(F3=2,VLOOKUP(入力!$S$30,J12:M16,4)))))))</f>
        <v>0</v>
      </c>
    </row>
    <row r="4" spans="2:13" x14ac:dyDescent="0.25">
      <c r="B4" s="58" t="s">
        <v>38</v>
      </c>
      <c r="C4" s="58">
        <f>IF(SUM('設定1(医療分)'!D5:E5)&gt;=10000000,1,0)</f>
        <v>0</v>
      </c>
      <c r="D4" s="58">
        <f>IF(SUM('設定1(医療分)'!D5:E5)&gt;=20000000,1,0)</f>
        <v>0</v>
      </c>
      <c r="E4" s="58">
        <f>IF(入力!L35="65歳以上",10,0)</f>
        <v>0</v>
      </c>
      <c r="F4" s="58">
        <f>SUM(C4:E4)</f>
        <v>0</v>
      </c>
      <c r="G4" t="s">
        <v>76</v>
      </c>
      <c r="I4" s="58">
        <f>IF(F4=10,VLOOKUP(入力!$S$35,C20:F24,2),IF(F4=11,VLOOKUP(入力!$S$35,C20:F24,3),IF(F4=12,VLOOKUP(入力!$S$35,C20:F24,4),IF(F4=0,VLOOKUP(入力!$S$35,J20:M24,2),IF(F4=1,VLOOKUP(入力!$S$35,J20:M24,3),IF(F4=2,VLOOKUP(入力!$S$35,J20:M24,4)))))))</f>
        <v>0</v>
      </c>
    </row>
    <row r="5" spans="2:13" x14ac:dyDescent="0.25">
      <c r="B5" s="58" t="s">
        <v>39</v>
      </c>
      <c r="C5" s="58">
        <f>IF(SUM('設定1(医療分)'!D6:E6)&gt;=10000000,1,0)</f>
        <v>0</v>
      </c>
      <c r="D5" s="58">
        <f>IF(SUM('設定1(医療分)'!D6:E6)&gt;=20000000,1,0)</f>
        <v>0</v>
      </c>
      <c r="E5" s="58">
        <f>IF(入力!L40="65歳以上",10,0)</f>
        <v>0</v>
      </c>
      <c r="F5" s="58">
        <f>SUM(C5:E5)</f>
        <v>0</v>
      </c>
      <c r="G5" t="s">
        <v>77</v>
      </c>
      <c r="I5" s="58">
        <f>IF(F5=10,VLOOKUP(入力!$S$40,C29:F33,2),IF(F5=11,VLOOKUP(入力!$S$40,C29:F33,3),IF(F5=12,VLOOKUP(入力!$S$40,C29:F33,4),IF(F5=0,VLOOKUP(入力!$S$40,J29:M33,2),IF(F5=1,VLOOKUP(入力!$S$40,J29:M33,3),IF(F5=2,VLOOKUP(入力!$S$40,J29:M33,4)))))))</f>
        <v>0</v>
      </c>
    </row>
    <row r="6" spans="2:13" x14ac:dyDescent="0.25">
      <c r="B6" s="58" t="s">
        <v>3</v>
      </c>
      <c r="C6" s="58">
        <f>IF(SUM('設定1(医療分)'!D9:E9)&gt;=10000000,1,0)</f>
        <v>0</v>
      </c>
      <c r="D6" s="58">
        <f>IF(SUM('設定1(医療分)'!D9:E9)&gt;=20000000,1,0)</f>
        <v>0</v>
      </c>
      <c r="E6" s="58">
        <f>IF(入力!L45="65歳以上",10,0)</f>
        <v>0</v>
      </c>
      <c r="F6" s="58">
        <f>SUM(C6:E6)</f>
        <v>0</v>
      </c>
      <c r="G6" t="s">
        <v>78</v>
      </c>
      <c r="I6" s="58">
        <f>IF(F6=0,VLOOKUP(入力!S45,J37:M41,2),IF(F6=1,VLOOKUP(入力!S45,J37:M41,3),IF(F6=2,VLOOKUP(入力!S45,J37:M41,4),IF(F6=10,VLOOKUP(入力!S45,C37:F41,2),IF(F6=11,VLOOKUP(入力!S45,C37:F41,3),IF(F6=12,VLOOKUP(入力!S45,C37:F41,4),""))))))</f>
        <v>0</v>
      </c>
    </row>
    <row r="9" spans="2:13" x14ac:dyDescent="0.25">
      <c r="I9" s="60"/>
    </row>
    <row r="10" spans="2:13" x14ac:dyDescent="0.25">
      <c r="H10" s="60"/>
    </row>
    <row r="11" spans="2:13" ht="16.5" customHeight="1" x14ac:dyDescent="0.25">
      <c r="B11" s="244" t="s">
        <v>36</v>
      </c>
      <c r="C11" s="248" t="s">
        <v>1</v>
      </c>
      <c r="D11" s="248"/>
      <c r="E11" s="59" t="s">
        <v>92</v>
      </c>
      <c r="F11" s="58" t="s">
        <v>93</v>
      </c>
      <c r="I11" s="244" t="s">
        <v>0</v>
      </c>
      <c r="J11" s="248" t="s">
        <v>2</v>
      </c>
      <c r="K11" s="248"/>
      <c r="L11" s="59" t="s">
        <v>92</v>
      </c>
      <c r="M11" s="58" t="s">
        <v>93</v>
      </c>
    </row>
    <row r="12" spans="2:13" ht="16.5" x14ac:dyDescent="0.25">
      <c r="B12" s="244"/>
      <c r="C12" s="23">
        <v>0</v>
      </c>
      <c r="D12" s="23">
        <f>IF(入力!$S$30&lt;=1100000,0,入力!$S$30-1100000)</f>
        <v>0</v>
      </c>
      <c r="E12" s="23">
        <f>IF(入力!$S$30&lt;=1000000,0,入力!$S$30-1000000)</f>
        <v>0</v>
      </c>
      <c r="F12" s="23">
        <f>IF(入力!$S$30&lt;=900000,0,入力!$S$30-900000)</f>
        <v>0</v>
      </c>
      <c r="I12" s="244"/>
      <c r="J12" s="23">
        <v>0</v>
      </c>
      <c r="K12" s="23">
        <f>IF(入力!$S$30&lt;=600000,0,入力!$S$30-600000)</f>
        <v>0</v>
      </c>
      <c r="L12" s="23">
        <f>IF(入力!$S$30&lt;=500000,0,入力!$S$30-500000)</f>
        <v>0</v>
      </c>
      <c r="M12" s="23">
        <f>IF(入力!$S$30&lt;=400000,0,入力!$S$30-400000)</f>
        <v>0</v>
      </c>
    </row>
    <row r="13" spans="2:13" ht="16.5" x14ac:dyDescent="0.25">
      <c r="B13" s="244"/>
      <c r="C13" s="23">
        <v>3300000</v>
      </c>
      <c r="D13" s="23">
        <f>ROUNDDOWN(入力!$S$30*0.75-275000,0)</f>
        <v>-275000</v>
      </c>
      <c r="E13" s="23">
        <f>ROUNDDOWN(入力!$S$30*0.75-175000,0)</f>
        <v>-175000</v>
      </c>
      <c r="F13" s="23">
        <f>ROUNDDOWN(入力!$S$30*0.75-75000,0)</f>
        <v>-75000</v>
      </c>
      <c r="I13" s="244"/>
      <c r="J13" s="23">
        <v>1300000</v>
      </c>
      <c r="K13" s="23">
        <f>ROUNDDOWN(入力!$S$30*0.75-275000,0)</f>
        <v>-275000</v>
      </c>
      <c r="L13" s="23">
        <f>ROUNDDOWN(入力!$S$30*0.75-175000,0)</f>
        <v>-175000</v>
      </c>
      <c r="M13" s="23">
        <f>ROUNDDOWN(入力!$S$30*0.75-75000,0)</f>
        <v>-75000</v>
      </c>
    </row>
    <row r="14" spans="2:13" ht="16.5" x14ac:dyDescent="0.25">
      <c r="B14" s="244"/>
      <c r="C14" s="23">
        <v>4100000</v>
      </c>
      <c r="D14" s="23">
        <f>ROUNDDOWN(入力!$S$30*0.85-685000,0)</f>
        <v>-685000</v>
      </c>
      <c r="E14" s="23">
        <f>ROUNDDOWN(入力!$S$30*0.85-585000,0)</f>
        <v>-585000</v>
      </c>
      <c r="F14" s="23">
        <f>ROUNDDOWN(入力!$S$30*0.85-485000,0)</f>
        <v>-485000</v>
      </c>
      <c r="I14" s="244"/>
      <c r="J14" s="23">
        <v>4100000</v>
      </c>
      <c r="K14" s="23">
        <f>ROUNDDOWN(入力!$S$30*0.85-685000,0)</f>
        <v>-685000</v>
      </c>
      <c r="L14" s="23">
        <f>ROUNDDOWN(入力!$S$30*0.85-585000,0)</f>
        <v>-585000</v>
      </c>
      <c r="M14" s="23">
        <f>ROUNDDOWN(入力!$S$30*0.85-485000,0)</f>
        <v>-485000</v>
      </c>
    </row>
    <row r="15" spans="2:13" ht="16.5" x14ac:dyDescent="0.25">
      <c r="B15" s="244"/>
      <c r="C15" s="23">
        <v>7700000</v>
      </c>
      <c r="D15" s="23">
        <f>ROUNDDOWN(入力!$S$30*0.95-1455000,0)</f>
        <v>-1455000</v>
      </c>
      <c r="E15" s="23">
        <f>ROUNDDOWN(入力!$S$30*0.95-1355000,0)</f>
        <v>-1355000</v>
      </c>
      <c r="F15" s="23">
        <f>ROUNDDOWN(入力!$S$30*0.95-1255000,0)</f>
        <v>-1255000</v>
      </c>
      <c r="I15" s="244"/>
      <c r="J15" s="23">
        <v>7700000</v>
      </c>
      <c r="K15" s="23">
        <f>ROUNDDOWN(入力!$S$30*0.95-1455000,0)</f>
        <v>-1455000</v>
      </c>
      <c r="L15" s="23">
        <f>ROUNDDOWN(入力!$S$30*0.95-1355000,0)</f>
        <v>-1355000</v>
      </c>
      <c r="M15" s="23">
        <f>ROUNDDOWN(入力!$S$30*0.95-1255000,0)</f>
        <v>-1255000</v>
      </c>
    </row>
    <row r="16" spans="2:13" ht="16.5" x14ac:dyDescent="0.25">
      <c r="B16" s="244"/>
      <c r="C16" s="23">
        <v>10000000</v>
      </c>
      <c r="D16" s="23">
        <f>ROUNDDOWN(入力!$S$30*1-1955000,0)</f>
        <v>-1955000</v>
      </c>
      <c r="E16" s="23">
        <f>ROUNDDOWN(入力!$S$30*1-1855000,0)</f>
        <v>-1855000</v>
      </c>
      <c r="F16" s="23">
        <f>ROUNDDOWN(入力!$S$30*1-1755000,0)</f>
        <v>-1755000</v>
      </c>
      <c r="I16" s="244"/>
      <c r="J16" s="23">
        <v>10000000</v>
      </c>
      <c r="K16" s="23">
        <f>ROUNDDOWN(入力!$S$30*1-1955000,0)</f>
        <v>-1955000</v>
      </c>
      <c r="L16" s="23">
        <f>ROUNDDOWN(入力!$S$30*1-1855000,0)</f>
        <v>-1855000</v>
      </c>
      <c r="M16" s="23">
        <f>ROUNDDOWN(入力!$S$30*1-1755000,0)</f>
        <v>-1755000</v>
      </c>
    </row>
    <row r="19" spans="2:13" ht="16.5" customHeight="1" x14ac:dyDescent="0.25">
      <c r="B19" s="244" t="s">
        <v>45</v>
      </c>
      <c r="C19" s="248" t="s">
        <v>1</v>
      </c>
      <c r="D19" s="248"/>
      <c r="E19" s="59" t="s">
        <v>92</v>
      </c>
      <c r="F19" s="58" t="s">
        <v>93</v>
      </c>
      <c r="I19" s="244" t="s">
        <v>0</v>
      </c>
      <c r="J19" s="248" t="s">
        <v>2</v>
      </c>
      <c r="K19" s="248"/>
      <c r="L19" s="59" t="s">
        <v>92</v>
      </c>
      <c r="M19" s="58" t="s">
        <v>93</v>
      </c>
    </row>
    <row r="20" spans="2:13" ht="16.5" x14ac:dyDescent="0.25">
      <c r="B20" s="244"/>
      <c r="C20" s="23">
        <v>0</v>
      </c>
      <c r="D20" s="23">
        <f>IF(入力!$S$35&lt;=1100000,0,入力!$S$35-1100000)</f>
        <v>0</v>
      </c>
      <c r="E20" s="23">
        <f>IF(入力!$S$35&lt;=1000000,0,入力!$S$35-1000000)</f>
        <v>0</v>
      </c>
      <c r="F20" s="23">
        <f>IF(入力!$S$35&lt;=900000,0,入力!$S$35-900000)</f>
        <v>0</v>
      </c>
      <c r="I20" s="244"/>
      <c r="J20" s="23">
        <v>0</v>
      </c>
      <c r="K20" s="23">
        <f>IF(入力!$S$35&lt;=600000,0,入力!$S$35-600000)</f>
        <v>0</v>
      </c>
      <c r="L20" s="23">
        <f>IF(入力!$S$35&lt;=500000,0,入力!$S$35-500000)</f>
        <v>0</v>
      </c>
      <c r="M20" s="23">
        <f>IF(入力!$S$35&lt;=400000,0,入力!$S$35-400000)</f>
        <v>0</v>
      </c>
    </row>
    <row r="21" spans="2:13" ht="16.5" x14ac:dyDescent="0.25">
      <c r="B21" s="244"/>
      <c r="C21" s="23">
        <v>3300000</v>
      </c>
      <c r="D21" s="23">
        <f>ROUNDDOWN(入力!$S$35*0.75-275000,0)</f>
        <v>-275000</v>
      </c>
      <c r="E21" s="23">
        <f>ROUNDDOWN(入力!$S$35*0.75-175000,0)</f>
        <v>-175000</v>
      </c>
      <c r="F21" s="23">
        <f>ROUNDDOWN(入力!$S$35*0.75-75000,0)</f>
        <v>-75000</v>
      </c>
      <c r="I21" s="244"/>
      <c r="J21" s="23">
        <v>1300000</v>
      </c>
      <c r="K21" s="23">
        <f>ROUNDDOWN(入力!$S$35*0.75-275000,0)</f>
        <v>-275000</v>
      </c>
      <c r="L21" s="23">
        <f>ROUNDDOWN(入力!$S$35*0.75-175000,0)</f>
        <v>-175000</v>
      </c>
      <c r="M21" s="23">
        <f>ROUNDDOWN(入力!$S$35*0.75-75000,0)</f>
        <v>-75000</v>
      </c>
    </row>
    <row r="22" spans="2:13" ht="16.5" x14ac:dyDescent="0.25">
      <c r="B22" s="244"/>
      <c r="C22" s="23">
        <v>4100000</v>
      </c>
      <c r="D22" s="23">
        <f>ROUNDDOWN(入力!$S$35*0.85-685000,0)</f>
        <v>-685000</v>
      </c>
      <c r="E22" s="23">
        <f>ROUNDDOWN(入力!$S$35*0.85-585000,0)</f>
        <v>-585000</v>
      </c>
      <c r="F22" s="23">
        <f>ROUNDDOWN(入力!$S$35*0.85-485000,0)</f>
        <v>-485000</v>
      </c>
      <c r="I22" s="244"/>
      <c r="J22" s="23">
        <v>4100000</v>
      </c>
      <c r="K22" s="23">
        <f>ROUNDDOWN(入力!$S$35*0.85-685000,0)</f>
        <v>-685000</v>
      </c>
      <c r="L22" s="23">
        <f>ROUNDDOWN(入力!$S$35*0.85-585000,0)</f>
        <v>-585000</v>
      </c>
      <c r="M22" s="23">
        <f>ROUNDDOWN(入力!$S$35*0.85-485000,0)</f>
        <v>-485000</v>
      </c>
    </row>
    <row r="23" spans="2:13" ht="16.5" x14ac:dyDescent="0.25">
      <c r="B23" s="244"/>
      <c r="C23" s="23">
        <v>7700000</v>
      </c>
      <c r="D23" s="23">
        <f>ROUNDDOWN(入力!$S$35*0.95-1455000,0)</f>
        <v>-1455000</v>
      </c>
      <c r="E23" s="23">
        <f>ROUNDDOWN(入力!$S$35*0.95-1355000,0)</f>
        <v>-1355000</v>
      </c>
      <c r="F23" s="23">
        <f>ROUNDDOWN(入力!$S$35*0.95-1255000,0)</f>
        <v>-1255000</v>
      </c>
      <c r="I23" s="244"/>
      <c r="J23" s="23">
        <v>7700000</v>
      </c>
      <c r="K23" s="23">
        <f>ROUNDDOWN(入力!$S$35*0.95-1455000,0)</f>
        <v>-1455000</v>
      </c>
      <c r="L23" s="23">
        <f>ROUNDDOWN(入力!$S$35*0.95-1355000,0)</f>
        <v>-1355000</v>
      </c>
      <c r="M23" s="23">
        <f>ROUNDDOWN(入力!$S$35*0.95-1255000,0)</f>
        <v>-1255000</v>
      </c>
    </row>
    <row r="24" spans="2:13" ht="16.5" x14ac:dyDescent="0.25">
      <c r="B24" s="244"/>
      <c r="C24" s="23">
        <v>10000000</v>
      </c>
      <c r="D24" s="23">
        <f>ROUNDDOWN(入力!$S$35*1-1955000,0)</f>
        <v>-1955000</v>
      </c>
      <c r="E24" s="23">
        <f>ROUNDDOWN(入力!$S$35*1-1855000,0)</f>
        <v>-1855000</v>
      </c>
      <c r="F24" s="23">
        <f>ROUNDDOWN(入力!$S$35*1-1755000,0)</f>
        <v>-1755000</v>
      </c>
      <c r="I24" s="244"/>
      <c r="J24" s="23">
        <v>10000000</v>
      </c>
      <c r="K24" s="23">
        <f>ROUNDDOWN(入力!$S$35*1-1955000,0)</f>
        <v>-1955000</v>
      </c>
      <c r="L24" s="23">
        <f>ROUNDDOWN(入力!$S$35*1-1855000,0)</f>
        <v>-1855000</v>
      </c>
      <c r="M24" s="23">
        <f>ROUNDDOWN(入力!$S$35*1-1755000,0)</f>
        <v>-1755000</v>
      </c>
    </row>
    <row r="28" spans="2:13" ht="16.5" customHeight="1" x14ac:dyDescent="0.25">
      <c r="B28" s="244" t="s">
        <v>46</v>
      </c>
      <c r="C28" s="248" t="s">
        <v>1</v>
      </c>
      <c r="D28" s="248"/>
      <c r="E28" s="59" t="s">
        <v>92</v>
      </c>
      <c r="F28" s="58" t="s">
        <v>93</v>
      </c>
      <c r="I28" s="244" t="s">
        <v>0</v>
      </c>
      <c r="J28" s="248" t="s">
        <v>2</v>
      </c>
      <c r="K28" s="248"/>
      <c r="L28" s="59" t="s">
        <v>92</v>
      </c>
      <c r="M28" s="58" t="s">
        <v>93</v>
      </c>
    </row>
    <row r="29" spans="2:13" ht="16.5" x14ac:dyDescent="0.25">
      <c r="B29" s="244"/>
      <c r="C29" s="23">
        <v>0</v>
      </c>
      <c r="D29" s="23">
        <f>IF(入力!$S$40&lt;=1100000,0,入力!$S$40-1100000)</f>
        <v>0</v>
      </c>
      <c r="E29" s="23">
        <f>IF(入力!$S$40&lt;=1000000,0,入力!$S$40-1000000)</f>
        <v>0</v>
      </c>
      <c r="F29" s="23">
        <f>IF(入力!$S$40&lt;=900000,0,入力!$S$40-900000)</f>
        <v>0</v>
      </c>
      <c r="I29" s="244"/>
      <c r="J29" s="23">
        <v>0</v>
      </c>
      <c r="K29" s="23">
        <f>IF(入力!$S$40&lt;=600000,0,入力!$S$40-600000)</f>
        <v>0</v>
      </c>
      <c r="L29" s="23">
        <f>IF(入力!$S$40&lt;=500000,0,入力!$S$40-500000)</f>
        <v>0</v>
      </c>
      <c r="M29" s="23">
        <f>IF(入力!$S$40&lt;=400000,0,入力!$S$40-400000)</f>
        <v>0</v>
      </c>
    </row>
    <row r="30" spans="2:13" ht="16.5" x14ac:dyDescent="0.25">
      <c r="B30" s="244"/>
      <c r="C30" s="23">
        <v>3300000</v>
      </c>
      <c r="D30" s="23">
        <f>ROUNDDOWN(入力!$S$40*0.75-275000,0)</f>
        <v>-275000</v>
      </c>
      <c r="E30" s="23">
        <f>ROUNDDOWN(入力!$S$40*0.75-175000,0)</f>
        <v>-175000</v>
      </c>
      <c r="F30" s="23">
        <f>ROUNDDOWN(入力!$S$40*0.75-75000,0)</f>
        <v>-75000</v>
      </c>
      <c r="I30" s="244"/>
      <c r="J30" s="23">
        <v>1300000</v>
      </c>
      <c r="K30" s="23">
        <f>ROUNDDOWN(入力!$S$40*0.75-275000,0)</f>
        <v>-275000</v>
      </c>
      <c r="L30" s="23">
        <f>ROUNDDOWN(入力!$S$40*0.75-175000,0)</f>
        <v>-175000</v>
      </c>
      <c r="M30" s="23">
        <f>ROUNDDOWN(入力!$S$40*0.75-75000,0)</f>
        <v>-75000</v>
      </c>
    </row>
    <row r="31" spans="2:13" ht="16.5" x14ac:dyDescent="0.25">
      <c r="B31" s="244"/>
      <c r="C31" s="23">
        <v>4100000</v>
      </c>
      <c r="D31" s="23">
        <f>ROUNDDOWN(入力!$S$40*0.85-685000,0)</f>
        <v>-685000</v>
      </c>
      <c r="E31" s="23">
        <f>ROUNDDOWN(入力!$S$40*0.85-585000,0)</f>
        <v>-585000</v>
      </c>
      <c r="F31" s="23">
        <f>ROUNDDOWN(入力!$S$40*0.85-485000,0)</f>
        <v>-485000</v>
      </c>
      <c r="I31" s="244"/>
      <c r="J31" s="23">
        <v>4100000</v>
      </c>
      <c r="K31" s="23">
        <f>ROUNDDOWN(入力!$S$40*0.85-685000,0)</f>
        <v>-685000</v>
      </c>
      <c r="L31" s="23">
        <f>ROUNDDOWN(入力!$S$40*0.85-585000,0)</f>
        <v>-585000</v>
      </c>
      <c r="M31" s="23">
        <f>ROUNDDOWN(入力!$S$40*0.85-485000,0)</f>
        <v>-485000</v>
      </c>
    </row>
    <row r="32" spans="2:13" ht="16.5" x14ac:dyDescent="0.25">
      <c r="B32" s="244"/>
      <c r="C32" s="23">
        <v>7700000</v>
      </c>
      <c r="D32" s="23">
        <f>ROUNDDOWN(入力!$S$40*0.95-1455000,0)</f>
        <v>-1455000</v>
      </c>
      <c r="E32" s="23">
        <f>ROUNDDOWN(入力!$S$40*0.95-1355000,0)</f>
        <v>-1355000</v>
      </c>
      <c r="F32" s="23">
        <f>ROUNDDOWN(入力!$S$40*0.95-1255000,0)</f>
        <v>-1255000</v>
      </c>
      <c r="I32" s="244"/>
      <c r="J32" s="23">
        <v>7700000</v>
      </c>
      <c r="K32" s="23">
        <f>ROUNDDOWN(入力!$S$40*0.95-1455000,0)</f>
        <v>-1455000</v>
      </c>
      <c r="L32" s="23">
        <f>ROUNDDOWN(入力!$S$40*0.95-1355000,0)</f>
        <v>-1355000</v>
      </c>
      <c r="M32" s="23">
        <f>ROUNDDOWN(入力!$S$40*0.95-1255000,0)</f>
        <v>-1255000</v>
      </c>
    </row>
    <row r="33" spans="2:13" ht="16.5" x14ac:dyDescent="0.25">
      <c r="B33" s="244"/>
      <c r="C33" s="23">
        <v>10000000</v>
      </c>
      <c r="D33" s="23">
        <f>ROUNDDOWN(入力!$S$40*1-1955000,0)</f>
        <v>-1955000</v>
      </c>
      <c r="E33" s="23">
        <f>ROUNDDOWN(入力!$S$40*1-1855000,0)</f>
        <v>-1855000</v>
      </c>
      <c r="F33" s="23">
        <f>ROUNDDOWN(入力!$S$40*1-1755000,0)</f>
        <v>-1755000</v>
      </c>
      <c r="I33" s="244"/>
      <c r="J33" s="23">
        <v>10000000</v>
      </c>
      <c r="K33" s="23">
        <f>ROUNDDOWN(入力!$S$40*1-1955000,0)</f>
        <v>-1955000</v>
      </c>
      <c r="L33" s="23">
        <f>ROUNDDOWN(入力!$S$40*1-1855000,0)</f>
        <v>-1855000</v>
      </c>
      <c r="M33" s="23">
        <f>ROUNDDOWN(入力!$S$40*1-1755000,0)</f>
        <v>-1755000</v>
      </c>
    </row>
    <row r="36" spans="2:13" ht="16.5" x14ac:dyDescent="0.25">
      <c r="B36" s="244" t="s">
        <v>0</v>
      </c>
      <c r="C36" s="248" t="s">
        <v>1</v>
      </c>
      <c r="D36" s="248"/>
      <c r="E36" s="59" t="s">
        <v>92</v>
      </c>
      <c r="F36" s="58" t="s">
        <v>93</v>
      </c>
      <c r="I36" s="244" t="s">
        <v>0</v>
      </c>
      <c r="J36" s="248" t="s">
        <v>2</v>
      </c>
      <c r="K36" s="248"/>
      <c r="L36" s="59" t="s">
        <v>92</v>
      </c>
      <c r="M36" s="58" t="s">
        <v>93</v>
      </c>
    </row>
    <row r="37" spans="2:13" ht="16.5" x14ac:dyDescent="0.25">
      <c r="B37" s="244"/>
      <c r="C37" s="23">
        <v>0</v>
      </c>
      <c r="D37" s="23">
        <f>IF(入力!$S$45&lt;=1100000,0,入力!$S$45-1100000)</f>
        <v>0</v>
      </c>
      <c r="E37" s="23">
        <f>IF(入力!$S$45&lt;=1000000,0,入力!$S$45-1000000)</f>
        <v>0</v>
      </c>
      <c r="F37" s="23">
        <f>IF(入力!$S$45&lt;=900000,0,入力!$S$45-900000)</f>
        <v>0</v>
      </c>
      <c r="I37" s="244"/>
      <c r="J37" s="23">
        <v>0</v>
      </c>
      <c r="K37" s="23">
        <f>IF(入力!$S$45&lt;=600000,0,入力!$S$45-600000)</f>
        <v>0</v>
      </c>
      <c r="L37" s="23">
        <f>IF(入力!$S$45&lt;=500000,0,入力!$S$45-500000)</f>
        <v>0</v>
      </c>
      <c r="M37" s="23">
        <f>IF(入力!$S$45&lt;=400000,0,入力!$S$45-400000)</f>
        <v>0</v>
      </c>
    </row>
    <row r="38" spans="2:13" ht="16.5" x14ac:dyDescent="0.25">
      <c r="B38" s="244"/>
      <c r="C38" s="23">
        <v>3300000</v>
      </c>
      <c r="D38" s="23">
        <f>ROUNDDOWN(入力!$S$45*0.75-275000,0)</f>
        <v>-275000</v>
      </c>
      <c r="E38" s="23">
        <f>ROUNDDOWN(入力!$S$45*0.75-175000,0)</f>
        <v>-175000</v>
      </c>
      <c r="F38" s="23">
        <f>ROUNDDOWN(入力!$S$45*0.75-75000,0)</f>
        <v>-75000</v>
      </c>
      <c r="I38" s="244"/>
      <c r="J38" s="23">
        <v>1300000</v>
      </c>
      <c r="K38" s="23">
        <f>ROUNDDOWN(入力!$S$45*0.75-275000,0)</f>
        <v>-275000</v>
      </c>
      <c r="L38" s="23">
        <f>ROUNDDOWN(入力!$S$45*0.75-175000,0)</f>
        <v>-175000</v>
      </c>
      <c r="M38" s="23">
        <f>ROUNDDOWN(入力!$S$45*0.75-75000,0)</f>
        <v>-75000</v>
      </c>
    </row>
    <row r="39" spans="2:13" ht="16.5" x14ac:dyDescent="0.25">
      <c r="B39" s="244"/>
      <c r="C39" s="23">
        <v>4100000</v>
      </c>
      <c r="D39" s="23">
        <f>ROUNDDOWN(入力!$S$45*0.85-685000,0)</f>
        <v>-685000</v>
      </c>
      <c r="E39" s="23">
        <f>ROUNDDOWN(入力!$S$45*0.85-585000,0)</f>
        <v>-585000</v>
      </c>
      <c r="F39" s="23">
        <f>ROUNDDOWN(入力!$S$45*0.85-485000,0)</f>
        <v>-485000</v>
      </c>
      <c r="I39" s="244"/>
      <c r="J39" s="23">
        <v>4100000</v>
      </c>
      <c r="K39" s="23">
        <f>ROUNDDOWN(入力!$S$45*0.85-685000,0)</f>
        <v>-685000</v>
      </c>
      <c r="L39" s="23">
        <f>ROUNDDOWN(入力!$S$45*0.85-585000,0)</f>
        <v>-585000</v>
      </c>
      <c r="M39" s="23">
        <f>ROUNDDOWN(入力!$S$45*0.85-485000,0)</f>
        <v>-485000</v>
      </c>
    </row>
    <row r="40" spans="2:13" ht="16.5" x14ac:dyDescent="0.25">
      <c r="B40" s="244"/>
      <c r="C40" s="23">
        <v>7700000</v>
      </c>
      <c r="D40" s="23">
        <f>ROUNDDOWN(入力!$S$45*0.95-1455000,0)</f>
        <v>-1455000</v>
      </c>
      <c r="E40" s="23">
        <f>ROUNDDOWN(入力!$S$45*0.95-1355000,0)</f>
        <v>-1355000</v>
      </c>
      <c r="F40" s="23">
        <f>ROUNDDOWN(入力!$S$45*0.95-1255000,0)</f>
        <v>-1255000</v>
      </c>
      <c r="I40" s="244"/>
      <c r="J40" s="23">
        <v>7700000</v>
      </c>
      <c r="K40" s="23">
        <f>ROUNDDOWN(入力!$S$45*0.95-1455000,0)</f>
        <v>-1455000</v>
      </c>
      <c r="L40" s="23">
        <f>ROUNDDOWN(入力!$S$45*0.95-1355000,0)</f>
        <v>-1355000</v>
      </c>
      <c r="M40" s="23">
        <f>ROUNDDOWN(入力!$S$45*0.95-1255000,0)</f>
        <v>-1255000</v>
      </c>
    </row>
    <row r="41" spans="2:13" ht="16.5" x14ac:dyDescent="0.25">
      <c r="B41" s="244"/>
      <c r="C41" s="23">
        <v>10000000</v>
      </c>
      <c r="D41" s="23">
        <f>ROUNDDOWN(入力!$S$45*1-1955000,0)</f>
        <v>-1955000</v>
      </c>
      <c r="E41" s="23">
        <f>ROUNDDOWN(入力!$S$45*1-1855000,0)</f>
        <v>-1855000</v>
      </c>
      <c r="F41" s="23">
        <f>ROUNDDOWN(入力!$S$45*1-1755000,0)</f>
        <v>-1755000</v>
      </c>
      <c r="I41" s="244"/>
      <c r="J41" s="23">
        <v>10000000</v>
      </c>
      <c r="K41" s="23">
        <f>ROUNDDOWN(入力!$S$45*1-1955000,0)</f>
        <v>-1955000</v>
      </c>
      <c r="L41" s="23">
        <f>ROUNDDOWN(入力!$S$45*1-1855000,0)</f>
        <v>-1855000</v>
      </c>
      <c r="M41" s="23">
        <f>ROUNDDOWN(入力!$S$45*1-1755000,0)</f>
        <v>-1755000</v>
      </c>
    </row>
  </sheetData>
  <mergeCells count="16">
    <mergeCell ref="I36:I41"/>
    <mergeCell ref="J36:K36"/>
    <mergeCell ref="B28:B33"/>
    <mergeCell ref="C28:D28"/>
    <mergeCell ref="I11:I16"/>
    <mergeCell ref="J11:K11"/>
    <mergeCell ref="I19:I24"/>
    <mergeCell ref="J19:K19"/>
    <mergeCell ref="I28:I33"/>
    <mergeCell ref="J28:K28"/>
    <mergeCell ref="C19:D19"/>
    <mergeCell ref="B11:B16"/>
    <mergeCell ref="B19:B24"/>
    <mergeCell ref="C11:D11"/>
    <mergeCell ref="B36:B41"/>
    <mergeCell ref="C36:D36"/>
  </mergeCells>
  <phoneticPr fontId="3"/>
  <pageMargins left="0.7" right="0.7" top="0.75" bottom="0.75" header="0.3" footer="0.3"/>
  <pageSetup paperSize="9" scale="5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rgb="FF66FFFF"/>
  </sheetPr>
  <dimension ref="A1:B15"/>
  <sheetViews>
    <sheetView zoomScaleNormal="100" workbookViewId="0">
      <selection activeCell="I20" sqref="I20"/>
    </sheetView>
  </sheetViews>
  <sheetFormatPr defaultRowHeight="14.25" x14ac:dyDescent="0.25"/>
  <cols>
    <col min="1" max="1" width="16.875" bestFit="1" customWidth="1"/>
  </cols>
  <sheetData>
    <row r="1" spans="1:2" s="8" customFormat="1" ht="15.75" customHeight="1" x14ac:dyDescent="0.25">
      <c r="A1" s="30" t="s">
        <v>28</v>
      </c>
      <c r="B1" s="20" t="s">
        <v>22</v>
      </c>
    </row>
    <row r="2" spans="1:2" s="8" customFormat="1" ht="15.75" customHeight="1" x14ac:dyDescent="0.25">
      <c r="A2" s="125" t="s">
        <v>126</v>
      </c>
      <c r="B2" s="4"/>
    </row>
    <row r="3" spans="1:2" s="8" customFormat="1" ht="15.75" customHeight="1" x14ac:dyDescent="0.25">
      <c r="A3" s="10" t="s">
        <v>97</v>
      </c>
      <c r="B3" s="4">
        <v>12</v>
      </c>
    </row>
    <row r="4" spans="1:2" s="8" customFormat="1" ht="15.75" customHeight="1" x14ac:dyDescent="0.25">
      <c r="A4" s="10" t="s">
        <v>98</v>
      </c>
      <c r="B4" s="4">
        <v>12</v>
      </c>
    </row>
    <row r="5" spans="1:2" s="8" customFormat="1" ht="15.75" customHeight="1" x14ac:dyDescent="0.25">
      <c r="A5" s="10" t="s">
        <v>99</v>
      </c>
      <c r="B5" s="4">
        <v>11</v>
      </c>
    </row>
    <row r="6" spans="1:2" s="8" customFormat="1" ht="15.75" customHeight="1" x14ac:dyDescent="0.25">
      <c r="A6" s="10" t="s">
        <v>100</v>
      </c>
      <c r="B6" s="4">
        <v>10</v>
      </c>
    </row>
    <row r="7" spans="1:2" s="8" customFormat="1" ht="15.75" customHeight="1" x14ac:dyDescent="0.25">
      <c r="A7" s="10" t="s">
        <v>106</v>
      </c>
      <c r="B7" s="4">
        <v>9</v>
      </c>
    </row>
    <row r="8" spans="1:2" s="8" customFormat="1" ht="15.75" customHeight="1" x14ac:dyDescent="0.25">
      <c r="A8" s="10" t="s">
        <v>101</v>
      </c>
      <c r="B8" s="4">
        <v>8</v>
      </c>
    </row>
    <row r="9" spans="1:2" s="8" customFormat="1" ht="15.75" customHeight="1" x14ac:dyDescent="0.25">
      <c r="A9" s="10" t="s">
        <v>102</v>
      </c>
      <c r="B9" s="4">
        <v>7</v>
      </c>
    </row>
    <row r="10" spans="1:2" s="8" customFormat="1" ht="15.75" customHeight="1" x14ac:dyDescent="0.25">
      <c r="A10" s="10" t="s">
        <v>103</v>
      </c>
      <c r="B10" s="4">
        <v>6</v>
      </c>
    </row>
    <row r="11" spans="1:2" s="8" customFormat="1" ht="15.75" customHeight="1" x14ac:dyDescent="0.25">
      <c r="A11" s="10" t="s">
        <v>104</v>
      </c>
      <c r="B11" s="4">
        <v>5</v>
      </c>
    </row>
    <row r="12" spans="1:2" s="8" customFormat="1" ht="15.75" customHeight="1" x14ac:dyDescent="0.25">
      <c r="A12" s="10" t="s">
        <v>105</v>
      </c>
      <c r="B12" s="4">
        <v>4</v>
      </c>
    </row>
    <row r="13" spans="1:2" s="8" customFormat="1" ht="15.75" customHeight="1" x14ac:dyDescent="0.25">
      <c r="A13" s="10" t="s">
        <v>107</v>
      </c>
      <c r="B13" s="4">
        <v>3</v>
      </c>
    </row>
    <row r="14" spans="1:2" s="8" customFormat="1" ht="15.75" customHeight="1" x14ac:dyDescent="0.25">
      <c r="A14" s="10" t="s">
        <v>108</v>
      </c>
      <c r="B14" s="4">
        <v>2</v>
      </c>
    </row>
    <row r="15" spans="1:2" s="8" customFormat="1" ht="15.75" customHeight="1" x14ac:dyDescent="0.25">
      <c r="A15" s="10" t="s">
        <v>109</v>
      </c>
      <c r="B15" s="4">
        <v>1</v>
      </c>
    </row>
  </sheetData>
  <phoneticPr fontId="3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&amp;C&amp;14&amp;A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1">
    <tabColor rgb="FF0070C0"/>
  </sheetPr>
  <dimension ref="A1:N21"/>
  <sheetViews>
    <sheetView topLeftCell="A4" zoomScaleNormal="100" workbookViewId="0">
      <selection activeCell="D7" sqref="D7"/>
    </sheetView>
  </sheetViews>
  <sheetFormatPr defaultRowHeight="14.25" x14ac:dyDescent="0.25"/>
  <cols>
    <col min="1" max="1" width="13.125" customWidth="1"/>
    <col min="2" max="2" width="14.5" bestFit="1" customWidth="1"/>
    <col min="3" max="3" width="13.625" bestFit="1" customWidth="1"/>
    <col min="4" max="4" width="9.875" customWidth="1"/>
    <col min="5" max="5" width="14.25" customWidth="1"/>
    <col min="6" max="6" width="9.875" customWidth="1"/>
    <col min="7" max="7" width="14.75" customWidth="1"/>
    <col min="8" max="8" width="9.875" customWidth="1"/>
    <col min="9" max="9" width="12.125" bestFit="1" customWidth="1"/>
    <col min="10" max="14" width="9.875" customWidth="1"/>
  </cols>
  <sheetData>
    <row r="1" spans="1:14" s="32" customFormat="1" ht="15.75" customHeight="1" x14ac:dyDescent="0.25">
      <c r="A1" s="32" t="s">
        <v>48</v>
      </c>
    </row>
    <row r="2" spans="1:14" s="32" customFormat="1" ht="31.5" customHeight="1" x14ac:dyDescent="0.25">
      <c r="A2" s="19"/>
      <c r="B2" s="38" t="s">
        <v>6</v>
      </c>
      <c r="C2" s="38" t="s">
        <v>7</v>
      </c>
      <c r="D2" s="38" t="s">
        <v>8</v>
      </c>
      <c r="E2" s="38" t="s">
        <v>10</v>
      </c>
      <c r="F2" s="38" t="s">
        <v>9</v>
      </c>
      <c r="G2" s="38" t="s">
        <v>47</v>
      </c>
      <c r="H2" s="39" t="s">
        <v>11</v>
      </c>
      <c r="I2" s="43" t="s">
        <v>12</v>
      </c>
      <c r="J2" s="38" t="s">
        <v>13</v>
      </c>
      <c r="K2" s="38" t="s">
        <v>21</v>
      </c>
      <c r="L2" s="38" t="s">
        <v>22</v>
      </c>
      <c r="M2" s="38" t="s">
        <v>23</v>
      </c>
      <c r="N2" s="38" t="s">
        <v>24</v>
      </c>
    </row>
    <row r="3" spans="1:14" s="32" customFormat="1" ht="15.75" customHeight="1" x14ac:dyDescent="0.25">
      <c r="A3" s="3" t="s">
        <v>35</v>
      </c>
      <c r="B3" s="33">
        <f>'設定1(医療分)'!D2+'設定1(医療分)'!E2+'設定1(医療分)'!F2-'設定1(医療分)'!G2</f>
        <v>0</v>
      </c>
      <c r="C3" s="33">
        <f>IF(B3&gt;25000000,B3,IF(B3&gt;24500000,B3-150000,IF(B3&gt;24000000,B3-290000,IF(B3-430000&lt;0,0,B3-430000))))</f>
        <v>0</v>
      </c>
      <c r="D3" s="74">
        <v>9.4899999999999998E-2</v>
      </c>
      <c r="E3" s="24">
        <f>IF(C3&lt;580001,ROUNDDOWN(C3*D3,-1),ROUNDDOWN(C3*D3,-1))</f>
        <v>0</v>
      </c>
      <c r="F3" s="40">
        <v>52370</v>
      </c>
      <c r="G3" s="35">
        <f>E3+F3</f>
        <v>52370</v>
      </c>
      <c r="H3" s="41">
        <v>850000</v>
      </c>
      <c r="I3" s="44">
        <f>IF(G3&gt;H3,G3-H3,0)</f>
        <v>0</v>
      </c>
      <c r="J3" s="53" t="str">
        <f>IF(D17="年齢選択エラー","年齢選択エラー",ROUNDUP(F3*$D$17,-1))</f>
        <v>年齢選択エラー</v>
      </c>
      <c r="K3" s="53" t="str">
        <f>IF(J3="年齢選択エラー","年齢選択エラー",G3-I3-J3)</f>
        <v>年齢選択エラー</v>
      </c>
      <c r="L3" s="53" t="str">
        <f>'設定1(医療分)'!C2</f>
        <v>資格取得月入力エラー</v>
      </c>
      <c r="M3" s="53" t="str">
        <f>IF(OR(L3="資格取得月入力エラー",ISBLANK(L3)),"資格取得月入力エラー",IF(K3="年齢選択エラー","年齢選択エラー",ROUNDUP(K3*(12-L3)/12,0)))</f>
        <v>資格取得月入力エラー</v>
      </c>
      <c r="N3" s="53" t="str">
        <f>IF(M3="資格取得月入力エラー","資格取得月入力エラー",IF(K3="年齢選択エラー","年齢選択エラー",ROUNDDOWN(K3-M3,-2)))</f>
        <v>資格取得月入力エラー</v>
      </c>
    </row>
    <row r="4" spans="1:14" s="32" customFormat="1" ht="15.75" customHeight="1" x14ac:dyDescent="0.25">
      <c r="C4" s="72"/>
      <c r="D4" s="75"/>
    </row>
    <row r="5" spans="1:14" s="32" customFormat="1" ht="15.75" customHeight="1" x14ac:dyDescent="0.25">
      <c r="A5" s="32" t="s">
        <v>25</v>
      </c>
    </row>
    <row r="6" spans="1:14" s="32" customFormat="1" ht="15.75" customHeight="1" x14ac:dyDescent="0.25">
      <c r="A6" s="19"/>
      <c r="B6" s="20" t="s">
        <v>26</v>
      </c>
    </row>
    <row r="7" spans="1:14" s="32" customFormat="1" ht="15.75" customHeight="1" x14ac:dyDescent="0.25">
      <c r="A7" s="3" t="s">
        <v>35</v>
      </c>
      <c r="B7" s="55" t="str">
        <f>'設定1(医療分)'!J2</f>
        <v>年齢選択エラー</v>
      </c>
    </row>
    <row r="8" spans="1:14" s="32" customFormat="1" ht="15.75" customHeight="1" x14ac:dyDescent="0.25">
      <c r="A8" s="3" t="s">
        <v>38</v>
      </c>
      <c r="B8" s="49">
        <f>'設定1(医療分)'!I5</f>
        <v>0</v>
      </c>
    </row>
    <row r="9" spans="1:14" s="32" customFormat="1" ht="15.75" customHeight="1" x14ac:dyDescent="0.25">
      <c r="A9" s="10" t="s">
        <v>39</v>
      </c>
      <c r="B9" s="49">
        <f>'設定1(医療分)'!I6</f>
        <v>0</v>
      </c>
    </row>
    <row r="10" spans="1:14" s="32" customFormat="1" ht="15.75" customHeight="1" x14ac:dyDescent="0.25">
      <c r="A10" s="37" t="s">
        <v>3</v>
      </c>
      <c r="B10" s="56">
        <f>'設定1(医療分)'!I9</f>
        <v>0</v>
      </c>
    </row>
    <row r="11" spans="1:14" s="32" customFormat="1" ht="15.75" customHeight="1" x14ac:dyDescent="0.25">
      <c r="A11" s="4" t="s">
        <v>19</v>
      </c>
      <c r="B11" s="52" t="str">
        <f>IF(OR(B7="年齢選択エラー",B8="年齢選択エラー",B9="年齢選択エラー",B10="年齢選択エラー"),"年齢選択エラー",SUM(B7:B10))</f>
        <v>年齢選択エラー</v>
      </c>
    </row>
    <row r="12" spans="1:14" s="32" customFormat="1" ht="15.75" customHeight="1" x14ac:dyDescent="0.25">
      <c r="A12" s="48"/>
      <c r="B12" s="47"/>
    </row>
    <row r="13" spans="1:14" ht="31.5" customHeight="1" x14ac:dyDescent="0.25">
      <c r="A13" s="42" t="s">
        <v>17</v>
      </c>
      <c r="B13" s="67" t="s">
        <v>87</v>
      </c>
    </row>
    <row r="14" spans="1:14" ht="16.5" x14ac:dyDescent="0.25">
      <c r="A14" s="50">
        <f>COUNTA('設定1(医療分)'!B2)+SUM('設定1(医療分)'!B5:B6)</f>
        <v>1</v>
      </c>
      <c r="B14" s="68">
        <f>IF(OR('設定1(医療分)'!K2="年齢選択エラー",'設定1(医療分)'!J5="年齢選択エラー",'設定1(医療分)'!J6="年齢選択エラー",'設定1(医療分)'!J9="年齢選択エラー"),"年齢選択エラー",'設定1(医療分)'!K2+'設定1(医療分)'!J5+'設定1(医療分)'!J6+'設定1(医療分)'!J9)</f>
        <v>0</v>
      </c>
    </row>
    <row r="15" spans="1:14" s="32" customFormat="1" ht="15.75" customHeight="1" x14ac:dyDescent="0.25"/>
    <row r="16" spans="1:14" s="32" customFormat="1" ht="15.75" customHeight="1" x14ac:dyDescent="0.25">
      <c r="A16" s="19"/>
      <c r="B16" s="20" t="s">
        <v>16</v>
      </c>
      <c r="C16" s="20" t="s">
        <v>18</v>
      </c>
      <c r="D16" s="20" t="s">
        <v>20</v>
      </c>
    </row>
    <row r="17" spans="1:4" s="32" customFormat="1" ht="15.75" customHeight="1" x14ac:dyDescent="0.25">
      <c r="A17" s="37" t="s">
        <v>49</v>
      </c>
      <c r="B17" s="36">
        <f>IF(B14="年齢選択エラー","年齢選択エラー",
   430000 + IF(B14=0,0,100000*(B14-1))
)</f>
        <v>430000</v>
      </c>
      <c r="C17" s="51" t="str">
        <f>IF(B11="年齢選択エラー","年齢選択エラー",IF(B11&lt;=B17,"該当","非該当"))</f>
        <v>年齢選択エラー</v>
      </c>
      <c r="D17" s="249" t="str">
        <f>IF(B11="年齢選択エラー","年齢選択エラー",IF(C17="該当",0.72,IF(C18="該当",0.5,IF(C19="該当",0.2,0))))</f>
        <v>年齢選択エラー</v>
      </c>
    </row>
    <row r="18" spans="1:4" s="32" customFormat="1" ht="15.75" customHeight="1" x14ac:dyDescent="0.25">
      <c r="A18" s="37" t="s">
        <v>14</v>
      </c>
      <c r="B18" s="34">
        <f>IF(B14="年齢選択エラー","年齢選択エラー",
   430000 + 310000*A14 + IF(B14=0,0,100000*(B14-1))
)</f>
        <v>740000</v>
      </c>
      <c r="C18" s="51" t="str">
        <f>IF(B11="年齢選択エラー","年齢選択エラー",IF(C17="該当","",IF(B11&lt;=B18,"該当","非該当")))</f>
        <v>年齢選択エラー</v>
      </c>
      <c r="D18" s="250"/>
    </row>
    <row r="19" spans="1:4" s="32" customFormat="1" ht="15.75" customHeight="1" x14ac:dyDescent="0.25">
      <c r="A19" s="37" t="s">
        <v>15</v>
      </c>
      <c r="B19" s="34">
        <f>IF(B14="年齢選択エラー","年齢選択エラー",
   430000 + 570000*A14 + IF(B14=0,0,100000*(B14-1))
)</f>
        <v>1000000</v>
      </c>
      <c r="C19" s="51" t="str">
        <f>IF(B11="年齢選択エラー","年齢選択エラー",IF(OR(C17="該当",C18="該当"),"",IF(B11&lt;=B19,"該当","非該当")))</f>
        <v>年齢選択エラー</v>
      </c>
      <c r="D19" s="251"/>
    </row>
    <row r="20" spans="1:4" s="32" customFormat="1" ht="15.75" customHeight="1" x14ac:dyDescent="0.25">
      <c r="A20"/>
      <c r="B20"/>
      <c r="C20"/>
      <c r="D20"/>
    </row>
    <row r="21" spans="1:4" x14ac:dyDescent="0.25">
      <c r="C21" s="2"/>
    </row>
  </sheetData>
  <mergeCells count="1">
    <mergeCell ref="D17:D19"/>
  </mergeCells>
  <phoneticPr fontId="3"/>
  <pageMargins left="0.31496062992125984" right="0.31496062992125984" top="0.74803149606299213" bottom="0.35433070866141736" header="0.31496062992125984" footer="0.31496062992125984"/>
  <pageSetup paperSize="9" scale="80" orientation="landscape" r:id="rId1"/>
  <headerFooter>
    <oddHeader>&amp;C&amp;14&amp;A</oddHead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BDA89C-3F9E-45DC-9571-46149466B294}">
  <sheetPr codeName="Sheet52">
    <tabColor rgb="FFFF3399"/>
  </sheetPr>
  <dimension ref="A1:N21"/>
  <sheetViews>
    <sheetView zoomScaleNormal="100" workbookViewId="0">
      <selection activeCell="F12" sqref="F12"/>
    </sheetView>
  </sheetViews>
  <sheetFormatPr defaultRowHeight="14.25" x14ac:dyDescent="0.25"/>
  <cols>
    <col min="1" max="1" width="13.125" customWidth="1"/>
    <col min="2" max="2" width="14.5" bestFit="1" customWidth="1"/>
    <col min="3" max="3" width="13.625" bestFit="1" customWidth="1"/>
    <col min="4" max="4" width="9.875" customWidth="1"/>
    <col min="5" max="5" width="12.125" bestFit="1" customWidth="1"/>
    <col min="6" max="6" width="9.875" customWidth="1"/>
    <col min="7" max="7" width="12.125" bestFit="1" customWidth="1"/>
    <col min="8" max="8" width="9.875" customWidth="1"/>
    <col min="9" max="9" width="12.125" bestFit="1" customWidth="1"/>
    <col min="10" max="14" width="9.875" customWidth="1"/>
  </cols>
  <sheetData>
    <row r="1" spans="1:14" s="32" customFormat="1" ht="15.75" customHeight="1" x14ac:dyDescent="0.25">
      <c r="A1" s="32" t="s">
        <v>48</v>
      </c>
    </row>
    <row r="2" spans="1:14" s="32" customFormat="1" ht="31.5" customHeight="1" x14ac:dyDescent="0.25">
      <c r="A2" s="19"/>
      <c r="B2" s="38" t="s">
        <v>6</v>
      </c>
      <c r="C2" s="38" t="s">
        <v>7</v>
      </c>
      <c r="D2" s="38" t="s">
        <v>8</v>
      </c>
      <c r="E2" s="38" t="s">
        <v>10</v>
      </c>
      <c r="F2" s="38" t="s">
        <v>9</v>
      </c>
      <c r="G2" s="38" t="s">
        <v>47</v>
      </c>
      <c r="H2" s="39" t="s">
        <v>11</v>
      </c>
      <c r="I2" s="43" t="s">
        <v>12</v>
      </c>
      <c r="J2" s="38" t="s">
        <v>13</v>
      </c>
      <c r="K2" s="38" t="s">
        <v>21</v>
      </c>
      <c r="L2" s="38" t="s">
        <v>22</v>
      </c>
      <c r="M2" s="38" t="s">
        <v>23</v>
      </c>
      <c r="N2" s="38" t="s">
        <v>24</v>
      </c>
    </row>
    <row r="3" spans="1:14" s="32" customFormat="1" ht="15.75" customHeight="1" x14ac:dyDescent="0.25">
      <c r="A3" s="3" t="s">
        <v>35</v>
      </c>
      <c r="B3" s="33">
        <f>'設定1(医療分)'!D2+'設定1(医療分)'!E2+'設定1(医療分)'!F2-'設定1(医療分)'!G2</f>
        <v>0</v>
      </c>
      <c r="C3" s="33">
        <f>IF(B3&gt;25000000,B3,IF(B3&gt;24500000,B3-150000,IF(B3&gt;24000000,B3-290000,IF(B3-430000&lt;0,0,B3-430000))))</f>
        <v>0</v>
      </c>
      <c r="D3" s="74">
        <v>2.5000000000000001E-3</v>
      </c>
      <c r="E3" s="24">
        <f>IF(C3&lt;580001,ROUNDDOWN(C3*D3,-1),ROUNDDOWN(C3*D3,-1))</f>
        <v>0</v>
      </c>
      <c r="F3" s="40">
        <v>1330</v>
      </c>
      <c r="G3" s="35">
        <f>E3+F3</f>
        <v>1330</v>
      </c>
      <c r="H3" s="41">
        <v>21000</v>
      </c>
      <c r="I3" s="44">
        <f>IF(G3&gt;H3,G3-H3,0)</f>
        <v>0</v>
      </c>
      <c r="J3" s="53" t="str">
        <f>IF(D17="年齢選択エラー","年齢選択エラー",ROUNDUP(F3*$D$17,-1))</f>
        <v>年齢選択エラー</v>
      </c>
      <c r="K3" s="53" t="str">
        <f>IF(J3="年齢選択エラー","年齢選択エラー",G3-I3-J3)</f>
        <v>年齢選択エラー</v>
      </c>
      <c r="L3" s="53" t="str">
        <f>'設定1(医療分)'!C2</f>
        <v>資格取得月入力エラー</v>
      </c>
      <c r="M3" s="53" t="str">
        <f>IF(OR(L3="資格取得月入力エラー",ISBLANK(L3)),"資格取得月入力エラー",IF(K3="年齢選択エラー","年齢選択エラー",ROUNDUP(K3*(12-L3)/12,0)))</f>
        <v>資格取得月入力エラー</v>
      </c>
      <c r="N3" s="53" t="str">
        <f>IF(M3="資格取得月入力エラー","資格取得月入力エラー",IF(K3="年齢選択エラー","年齢選択エラー",ROUNDDOWN(K3-M3,-2)))</f>
        <v>資格取得月入力エラー</v>
      </c>
    </row>
    <row r="4" spans="1:14" s="32" customFormat="1" ht="15.75" customHeight="1" x14ac:dyDescent="0.25">
      <c r="C4" s="72"/>
      <c r="D4" s="75"/>
    </row>
    <row r="5" spans="1:14" s="32" customFormat="1" ht="15.75" customHeight="1" x14ac:dyDescent="0.25">
      <c r="A5" s="32" t="s">
        <v>25</v>
      </c>
    </row>
    <row r="6" spans="1:14" s="32" customFormat="1" ht="15.75" customHeight="1" x14ac:dyDescent="0.25">
      <c r="A6" s="19"/>
      <c r="B6" s="20" t="s">
        <v>26</v>
      </c>
    </row>
    <row r="7" spans="1:14" s="32" customFormat="1" ht="15.75" customHeight="1" x14ac:dyDescent="0.25">
      <c r="A7" s="3" t="s">
        <v>35</v>
      </c>
      <c r="B7" s="55" t="str">
        <f>'設定1(医療分)'!J2</f>
        <v>年齢選択エラー</v>
      </c>
    </row>
    <row r="8" spans="1:14" s="32" customFormat="1" ht="15.75" customHeight="1" x14ac:dyDescent="0.25">
      <c r="A8" s="3" t="s">
        <v>38</v>
      </c>
      <c r="B8" s="49">
        <f>'設定1(医療分)'!I5</f>
        <v>0</v>
      </c>
    </row>
    <row r="9" spans="1:14" s="32" customFormat="1" ht="15.75" customHeight="1" x14ac:dyDescent="0.25">
      <c r="A9" s="10" t="s">
        <v>39</v>
      </c>
      <c r="B9" s="49">
        <f>'設定1(医療分)'!I6</f>
        <v>0</v>
      </c>
    </row>
    <row r="10" spans="1:14" s="32" customFormat="1" ht="15.75" customHeight="1" x14ac:dyDescent="0.25">
      <c r="A10" s="37" t="s">
        <v>3</v>
      </c>
      <c r="B10" s="56">
        <f>'設定1(医療分)'!I9</f>
        <v>0</v>
      </c>
    </row>
    <row r="11" spans="1:14" s="32" customFormat="1" ht="15.75" customHeight="1" x14ac:dyDescent="0.25">
      <c r="A11" s="4" t="s">
        <v>19</v>
      </c>
      <c r="B11" s="52" t="str">
        <f>IF(OR(B7="年齢選択エラー",B8="年齢選択エラー",B9="年齢選択エラー",B10="年齢選択エラー"),"年齢選択エラー",SUM(B7:B10))</f>
        <v>年齢選択エラー</v>
      </c>
    </row>
    <row r="12" spans="1:14" s="32" customFormat="1" ht="15.75" customHeight="1" x14ac:dyDescent="0.25">
      <c r="A12" s="48"/>
      <c r="B12" s="47"/>
    </row>
    <row r="13" spans="1:14" ht="31.5" customHeight="1" x14ac:dyDescent="0.25">
      <c r="A13" s="42" t="s">
        <v>17</v>
      </c>
      <c r="B13" s="67" t="s">
        <v>87</v>
      </c>
    </row>
    <row r="14" spans="1:14" ht="16.5" x14ac:dyDescent="0.25">
      <c r="A14" s="50">
        <f>COUNTA('設定1(医療分)'!B2)+SUM('設定1(医療分)'!B5:B6)</f>
        <v>1</v>
      </c>
      <c r="B14" s="68">
        <f>IF(OR('設定1(医療分)'!K2="年齢選択エラー",'設定1(医療分)'!J5="年齢選択エラー",'設定1(医療分)'!J6="年齢選択エラー",'設定1(医療分)'!J9="年齢選択エラー"),"年齢選択エラー",'設定1(医療分)'!K2+'設定1(医療分)'!J5+'設定1(医療分)'!J6+'設定1(医療分)'!J9)</f>
        <v>0</v>
      </c>
    </row>
    <row r="15" spans="1:14" s="32" customFormat="1" ht="15.75" customHeight="1" x14ac:dyDescent="0.25"/>
    <row r="16" spans="1:14" s="32" customFormat="1" ht="15.75" customHeight="1" x14ac:dyDescent="0.25">
      <c r="A16" s="19"/>
      <c r="B16" s="20" t="s">
        <v>16</v>
      </c>
      <c r="C16" s="20" t="s">
        <v>18</v>
      </c>
      <c r="D16" s="20" t="s">
        <v>20</v>
      </c>
    </row>
    <row r="17" spans="1:4" s="32" customFormat="1" ht="15.75" customHeight="1" x14ac:dyDescent="0.25">
      <c r="A17" s="37" t="s">
        <v>49</v>
      </c>
      <c r="B17" s="36">
        <f>IF(B14="年齢選択エラー","年齢選択エラー",
   430000 + IF(B14=0,0,100000*(B14-1))
)</f>
        <v>430000</v>
      </c>
      <c r="C17" s="51" t="str">
        <f>IF(B11="年齢選択エラー","年齢選択エラー",IF(B11&lt;=B17,"該当","非該当"))</f>
        <v>年齢選択エラー</v>
      </c>
      <c r="D17" s="249" t="str">
        <f>IF(B11="年齢選択エラー","年齢選択エラー",IF(C17="該当",0.7,IF(C18="該当",0.5,IF(C19="該当",0.2,0))))</f>
        <v>年齢選択エラー</v>
      </c>
    </row>
    <row r="18" spans="1:4" s="32" customFormat="1" ht="15.75" customHeight="1" x14ac:dyDescent="0.25">
      <c r="A18" s="37" t="s">
        <v>14</v>
      </c>
      <c r="B18" s="34">
        <f>IF(B14="年齢選択エラー","年齢選択エラー",
   430000 + 310000*A14 + IF(B14=0,0,100000*(B14-1))
)</f>
        <v>740000</v>
      </c>
      <c r="C18" s="51" t="str">
        <f>IF(B11="年齢選択エラー","年齢選択エラー",IF(C17="該当","",IF(B11&lt;=B18,"該当","非該当")))</f>
        <v>年齢選択エラー</v>
      </c>
      <c r="D18" s="250"/>
    </row>
    <row r="19" spans="1:4" s="32" customFormat="1" ht="15.75" customHeight="1" x14ac:dyDescent="0.25">
      <c r="A19" s="37" t="s">
        <v>15</v>
      </c>
      <c r="B19" s="34">
        <f>IF(B14="年齢選択エラー","年齢選択エラー",
   430000 + 570000*A14 + IF(B14=0,0,100000*(B14-1))
)</f>
        <v>1000000</v>
      </c>
      <c r="C19" s="51" t="str">
        <f>IF(B11="年齢選択エラー","年齢選択エラー",IF(OR(C17="該当",C18="該当"),"",IF(B11&lt;=B19,"該当","非該当")))</f>
        <v>年齢選択エラー</v>
      </c>
      <c r="D19" s="251"/>
    </row>
    <row r="20" spans="1:4" s="32" customFormat="1" ht="15.75" customHeight="1" x14ac:dyDescent="0.25">
      <c r="A20"/>
      <c r="B20"/>
      <c r="C20"/>
      <c r="D20"/>
    </row>
    <row r="21" spans="1:4" x14ac:dyDescent="0.25">
      <c r="C21" s="2"/>
    </row>
  </sheetData>
  <mergeCells count="1">
    <mergeCell ref="D17:D19"/>
  </mergeCells>
  <phoneticPr fontId="3"/>
  <pageMargins left="0.31496062992125984" right="0.31496062992125984" top="0.74803149606299213" bottom="0.35433070866141736" header="0.31496062992125984" footer="0.31496062992125984"/>
  <pageSetup paperSize="9" scale="80" orientation="landscape" r:id="rId1"/>
  <headerFooter>
    <oddHeader>&amp;C&amp;14&amp;A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1</vt:i4>
      </vt:variant>
    </vt:vector>
  </HeadingPairs>
  <TitlesOfParts>
    <vt:vector size="9" baseType="lpstr">
      <vt:lpstr>入力</vt:lpstr>
      <vt:lpstr>設定1(医療分)</vt:lpstr>
      <vt:lpstr>設定2(子ども分)</vt:lpstr>
      <vt:lpstr>給与所得(改正後）</vt:lpstr>
      <vt:lpstr>年金条件式</vt:lpstr>
      <vt:lpstr>資格取得月</vt:lpstr>
      <vt:lpstr>計算1(医療分)</vt:lpstr>
      <vt:lpstr>計算2(子ども分)</vt:lpstr>
      <vt:lpstr>入力!Print_Area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2026-01-29T05:15:17Z</cp:lastPrinted>
  <dcterms:created xsi:type="dcterms:W3CDTF">2021-03-08T02:03:30Z</dcterms:created>
  <dcterms:modified xsi:type="dcterms:W3CDTF">2026-02-18T02:35:36Z</dcterms:modified>
</cp:coreProperties>
</file>